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Debts" sheetId="2" state="visible" r:id="rId4"/>
    <sheet name="Snowball" sheetId="3" state="visible" r:id="rId5"/>
    <sheet name="Avalanche" sheetId="4" state="visible" r:id="rId6"/>
    <sheet name="Lists" sheetId="5" state="visible" r:id="rId7"/>
    <sheet name="Checks" sheetId="6" state="visible" r:id="rId8"/>
  </sheets>
  <definedNames>
    <definedName function="false" hidden="false" localSheetId="3" name="_xlnm.Print_Area" vbProcedure="false">Avalanche!$A$1:$Y$364</definedName>
    <definedName function="false" hidden="false" localSheetId="3" name="_xlnm.Print_Titles" vbProcedure="false">Avalanche!$4:$4</definedName>
    <definedName function="false" hidden="false" localSheetId="1" name="_xlnm.Print_Titles" vbProcedure="false">Debts!$4:$4</definedName>
    <definedName function="false" hidden="false" localSheetId="4" name="_xlnm.Print_Titles" vbProcedure="false">Lists!$4:$4</definedName>
    <definedName function="false" hidden="false" localSheetId="2" name="_xlnm.Print_Area" vbProcedure="false">Snowball!$A$1:$Y$364</definedName>
    <definedName function="false" hidden="false" localSheetId="2" name="_xlnm.Print_Titles" vbProcedure="false">Snowball!$4:$4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<sst xmlns="http://schemas.openxmlformats.org/spreadsheetml/2006/main" count="122" uniqueCount="104">
  <si>
    <t xml:space="preserve">Debt Snowball Calculator</t>
  </si>
  <si>
    <t xml:space="preserve">List your debts, pick Snowball or Avalanche, and add an extra payment. The plan, debt-free date and interest update on their own.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</si>
  <si>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</si>
  <si>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</si>
  <si>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</si>
  <si>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</si>
  <si>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</si>
  <si>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Payoff Method</t>
  </si>
  <si>
    <t xml:space="preserve">Snowball</t>
  </si>
  <si>
    <t xml:space="preserve">Snowball: smallest balance first. Avalanche: highest APR first.</t>
  </si>
  <si>
    <t xml:space="preserve">Pale yellow: type your own data here.</t>
  </si>
  <si>
    <t xml:space="preserve">Extra Monthly Payment</t>
  </si>
  <si>
    <t xml:space="preserve">On top of all the minimums, every month.</t>
  </si>
  <si>
    <t xml:space="preserve">Green: formulas that update on their own. Don't type over them.</t>
  </si>
  <si>
    <t xml:space="preserve">First Payment Month</t>
  </si>
  <si>
    <t xml:space="preserve">The month of your first payment under this plan.</t>
  </si>
  <si>
    <t xml:space="preserve">▾</t>
  </si>
  <si>
    <t xml:space="preserve">Dropdown arrow: pick from the list. Edit the choices on the Lists tab.</t>
  </si>
  <si>
    <t xml:space="preserve">Total Debt</t>
  </si>
  <si>
    <t xml:space="preserve">Current balances on the Debts sheet.</t>
  </si>
  <si>
    <t xml:space="preserve">!</t>
  </si>
  <si>
    <t xml:space="preserve">Checks tab: Review means something needs a look.</t>
  </si>
  <si>
    <t xml:space="preserve">Monthly Payment</t>
  </si>
  <si>
    <t xml:space="preserve">All minimums plus the extra. Stays the same until you are debt-free.</t>
  </si>
  <si>
    <t xml:space="preserve">→</t>
  </si>
  <si>
    <t xml:space="preserve">Step-by-step guide: arumsoft.com/resources</t>
  </si>
  <si>
    <t xml:space="preserve">Months to Debt-Free</t>
  </si>
  <si>
    <t xml:space="preserve">Using the method in B6.</t>
  </si>
  <si>
    <t xml:space="preserve">Checks needing review</t>
  </si>
  <si>
    <t xml:space="preserve">Debt-Free Date</t>
  </si>
  <si>
    <t xml:space="preserve">Month of your final payment.</t>
  </si>
  <si>
    <t xml:space="preserve">Total Interest</t>
  </si>
  <si>
    <t xml:space="preserve">Interest you pay from now until debt-free.</t>
  </si>
  <si>
    <t xml:space="preserve">Interest Saved vs Minimums</t>
  </si>
  <si>
    <t xml:space="preserve">Compared with paying only minimums (estimate).</t>
  </si>
  <si>
    <t xml:space="preserve">WORKBOOK NAVIGATION</t>
  </si>
  <si>
    <t xml:space="preserve">SNOWBALL VS AVALANCHE</t>
  </si>
  <si>
    <t xml:space="preserve">Sheet (click to open)</t>
  </si>
  <si>
    <t xml:space="preserve">What it's for</t>
  </si>
  <si>
    <t xml:space="preserve">Result</t>
  </si>
  <si>
    <t xml:space="preserve">Avalanche</t>
  </si>
  <si>
    <t xml:space="preserve">Debts</t>
  </si>
  <si>
    <t xml:space="preserve">List balances, APRs and minimum payments.</t>
  </si>
  <si>
    <t xml:space="preserve">Months to debt-free</t>
  </si>
  <si>
    <t xml:space="preserve">Month-by-month plan, smallest balance first.</t>
  </si>
  <si>
    <t xml:space="preserve">Debt-free date</t>
  </si>
  <si>
    <t xml:space="preserve">Month-by-month plan, highest APR first.</t>
  </si>
  <si>
    <t xml:space="preserve">Total interest</t>
  </si>
  <si>
    <t xml:space="preserve">Lists</t>
  </si>
  <si>
    <t xml:space="preserve">Payoff method choices.</t>
  </si>
  <si>
    <t xml:space="preserve">Total paid</t>
  </si>
  <si>
    <t xml:space="preserve">Checks</t>
  </si>
  <si>
    <t xml:space="preserve">Review your debt list and plan.</t>
  </si>
  <si>
    <t xml:space="preserve">First debt paid off (month)</t>
  </si>
  <si>
    <t xml:space="preserve">BALANCE LEFT AT END OF YEAR</t>
  </si>
  <si>
    <t xml:space="preserve">Year</t>
  </si>
  <si>
    <t xml:space="preserve">One row per debt. The order, payoff month and interest use the method you pick on Start Here.</t>
  </si>
  <si>
    <t xml:space="preserve">#</t>
  </si>
  <si>
    <t xml:space="preserve">Debt</t>
  </si>
  <si>
    <t xml:space="preserve">Balance</t>
  </si>
  <si>
    <t xml:space="preserve">APR</t>
  </si>
  <si>
    <t xml:space="preserve">Minimum Payment</t>
  </si>
  <si>
    <t xml:space="preserve">Snowball Order</t>
  </si>
  <si>
    <t xml:space="preserve">Avalanche Order</t>
  </si>
  <si>
    <t xml:space="preserve">Payoff Month</t>
  </si>
  <si>
    <t xml:space="preserve">Payoff Date</t>
  </si>
  <si>
    <t xml:space="preserve">Interest Paid</t>
  </si>
  <si>
    <t xml:space="preserve">Minimums Only: Months</t>
  </si>
  <si>
    <t xml:space="preserve">Minimums Only: Interest (approx.)</t>
  </si>
  <si>
    <t xml:space="preserve">Store credit card</t>
  </si>
  <si>
    <t xml:space="preserve">Visa credit card</t>
  </si>
  <si>
    <t xml:space="preserve">Car loan</t>
  </si>
  <si>
    <t xml:space="preserve">Personal loan</t>
  </si>
  <si>
    <t xml:space="preserve">Medical bill</t>
  </si>
  <si>
    <t xml:space="preserve">Student loan</t>
  </si>
  <si>
    <t xml:space="preserve">Total</t>
  </si>
  <si>
    <t xml:space="preserve">Minimums Only shows what happens if you pay just the minimum on each debt with no extra and no rollover. Its interest is an estimate.</t>
  </si>
  <si>
    <t xml:space="preserve">Snowball Schedule</t>
  </si>
  <si>
    <t xml:space="preserve">Month-by-month payoff using the snowball order. Row 3 shows each debt's order and payoff month. Columns Z to AS are helper columns for the formulas.</t>
  </si>
  <si>
    <t xml:space="preserve">Month</t>
  </si>
  <si>
    <t xml:space="preserve">Date</t>
  </si>
  <si>
    <t xml:space="preserve">Total Paid</t>
  </si>
  <si>
    <t xml:space="preserve">Interest</t>
  </si>
  <si>
    <t xml:space="preserve">Balance Left</t>
  </si>
  <si>
    <t xml:space="preserve">Avalanche Schedule</t>
  </si>
  <si>
    <t xml:space="preserve">Month-by-month payoff using the avalanche order. Row 3 shows each debt's order and payoff month. Columns Z to AS are helper columns for the formulas.</t>
  </si>
  <si>
    <t xml:space="preserve">Dropdown choices used across the workbook. Add, rename or remove items here and the dropdowns update.</t>
  </si>
  <si>
    <t xml:space="preserve">Snowball pays the smallest balance first. Avalanche pays the highest APR first. These two words are used by formulas, so keep them as they are.</t>
  </si>
  <si>
    <t xml:space="preserve">Quick review flags for your debt list and plan.</t>
  </si>
  <si>
    <t xml:space="preserve">Check</t>
  </si>
  <si>
    <t xml:space="preserve">Status</t>
  </si>
  <si>
    <t xml:space="preserve">Where to Fix</t>
  </si>
  <si>
    <t xml:space="preserve">Every debt has a balance, APR and minimum payment</t>
  </si>
  <si>
    <t xml:space="preserve">APRs are typed as percentages (under 100%)</t>
  </si>
  <si>
    <t xml:space="preserve">Debts: APR (type 19.99%, not 1999)</t>
  </si>
  <si>
    <t xml:space="preserve">Each minimum covers the first month's interest</t>
  </si>
  <si>
    <t xml:space="preserve">Debts: Minimum Payment</t>
  </si>
  <si>
    <t xml:space="preserve">Extra payment is not negative</t>
  </si>
  <si>
    <t xml:space="preserve">Start Here: B7</t>
  </si>
  <si>
    <t xml:space="preserve">All debts are paid off within 30 years</t>
  </si>
  <si>
    <t xml:space="preserve">Start Here: raise the extra payment</t>
  </si>
  <si>
    <t xml:space="preserve">First payment month is filled in</t>
  </si>
  <si>
    <t xml:space="preserve">Start Here: B8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</si>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</sst>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;[RED]&quot;-$&quot;#,##0;\–"/>
    <numFmt numFmtId="166" formatCode="mmm\ yyyy"/>
    <numFmt numFmtId="167" formatCode="#,##0"/>
    <numFmt numFmtId="168" formatCode="0"/>
    <numFmt numFmtId="169" formatCode="\$#,##0"/>
    <numFmt numFmtId="170" formatCode="\$#,##0.00;[RED]&quot;-$&quot;#,##0.00;\–"/>
    <numFmt numFmtId="171" formatCode="0.00%"/>
    <numFmt numFmtId="172" formatCode="&quot;Order &quot;0"/>
    <numFmt numFmtId="173" formatCode="&quot;Month &quot;0"/>
    <numFmt numFmtId="174" formatCode="&quot;Order &quot;0;;;@"/>
  </numFmts>
  <fonts count="2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  <fill>
      <patternFill patternType="solid">
        <fgColor rgb="FF9CA3AF"/>
        <bgColor rgb="FF9999FF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  <border diagonalUp="false" diagonalDown="false">
      <left/>
      <right/>
      <top style="medium">
        <color rgb="FF177A5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4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4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9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9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3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3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3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5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4" fillId="6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8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20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b val="1"/>
        <color rgb="FF0F4C3A"/>
      </font>
      <fill>
        <patternFill>
          <bgColor rgb="FFBBF7D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166534"/>
      </font>
      <fill>
        <patternFill>
          <bgColor rgb="FFD1FAE5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BF7D0"/>
      <rgbColor rgb="FFD1FAE5"/>
      <rgbColor rgb="FFF4F7F6"/>
      <rgbColor rgb="FFB5E3C9"/>
      <rgbColor rgb="FFFEE2E2"/>
      <rgbColor rgb="FFE5E7EB"/>
      <rgbColor rgb="FFF1D7B0"/>
      <rgbColor rgb="FF3B6EA8"/>
      <rgbColor rgb="FF33CCCC"/>
      <rgbColor rgb="FF99CC00"/>
      <rgbColor rgb="FFFFCC00"/>
      <rgbColor rgb="FFF2A93B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"Snowball"</c:f>
              <c:strCache>
                <c:ptCount val="1"/>
                <c:pt idx="0">
                  <c:v>Snowball</c:v>
                </c:pt>
              </c:strCache>
            </c:strRef>
          </c:tx>
          <c:spPr>
            <a:solidFill>
              <a:srgbClr val="177a5a"/>
            </a:solidFill>
            <a:ln w="9360">
              <a:solidFill>
                <a:srgbClr val="177a5a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Here'!$E$26:$E$31</c:f>
              <c:strCache>
                <c:ptCount val="6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</c:strCache>
            </c:strRef>
          </c:cat>
          <c:val>
            <c:numRef>
              <c:f>'Start Here'!$G$26:$G$31</c:f>
              <c:numCache>
                <c:formatCode>\$#,##0;[RED]"-$"#,##0;\–</c:formatCode>
                <c:ptCount val="6"/>
                <c:pt idx="0">
                  <c:v>33174.14</c:v>
                </c:pt>
                <c:pt idx="1">
                  <c:v>20810.58</c:v>
                </c:pt>
                <c:pt idx="2">
                  <c:v>7007.6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"Avalanche"</c:f>
              <c:strCache>
                <c:ptCount val="1"/>
                <c:pt idx="0">
                  <c:v>Avalanche</c:v>
                </c:pt>
              </c:strCache>
            </c:strRef>
          </c:tx>
          <c:spPr>
            <a:solidFill>
              <a:srgbClr val="f2a93b"/>
            </a:solidFill>
            <a:ln w="9360">
              <a:solidFill>
                <a:srgbClr val="f2a93b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Here'!$E$26:$E$31</c:f>
              <c:strCache>
                <c:ptCount val="6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</c:strCache>
            </c:strRef>
          </c:cat>
          <c:val>
            <c:numRef>
              <c:f>'Start Here'!$H$26:$H$31</c:f>
              <c:numCache>
                <c:formatCode>\$#,##0;[RED]"-$"#,##0;\–</c:formatCode>
                <c:ptCount val="6"/>
                <c:pt idx="0">
                  <c:v>32990.03</c:v>
                </c:pt>
                <c:pt idx="1">
                  <c:v>20375.22</c:v>
                </c:pt>
                <c:pt idx="2">
                  <c:v>6542.17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60"/>
        <c:overlap val="0"/>
        <c:axId val="4307753"/>
        <c:axId val="18600423"/>
      </c:barChart>
      <c:catAx>
        <c:axId val="430775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600423"/>
        <c:crosses val="autoZero"/>
        <c:auto val="1"/>
        <c:lblAlgn val="ctr"/>
        <c:lblOffset val="100"/>
        <c:noMultiLvlLbl val="0"/>
      </c:catAx>
      <c:valAx>
        <c:axId val="18600423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0775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32</xdr:row>
      <xdr:rowOff>0</xdr:rowOff>
    </xdr:from>
    <xdr:to>
      <xdr:col>8</xdr:col>
      <xdr:colOff>411480</xdr:colOff>
      <xdr:row>46</xdr:row>
      <xdr:rowOff>32760</xdr:rowOff>
    </xdr:to>
    <xdr:graphicFrame>
      <xdr:nvGraphicFramePr>
        <xdr:cNvPr id="0" name="Chart 1"/>
        <xdr:cNvGraphicFramePr/>
      </xdr:nvGraphicFramePr>
      <xdr:xfrm>
        <a:off x="6555240" y="8953560"/>
        <a:ext cx="44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debt-snowball-calculato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H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2</v>
      </c>
      <c r="B4" s="5"/>
      <c r="C4" s="5"/>
      <c r="E4" s="4" t="s">
        <v>3</v>
      </c>
      <c r="F4" s="5"/>
      <c r="G4" s="5"/>
      <c r="H4" s="5"/>
    </row>
    <row r="5" customFormat="false" ht="15" hidden="false" customHeight="true" outlineLevel="0" collapsed="false">
      <c r="A5" s="6" t="s">
        <v>4</v>
      </c>
      <c r="B5" s="7" t="s">
        <v>5</v>
      </c>
      <c r="C5" s="6" t="s">
        <v>6</v>
      </c>
    </row>
    <row r="6" customFormat="false" ht="30" hidden="false" customHeight="true" outlineLevel="0" collapsed="false">
      <c r="A6" s="8" t="s">
        <v>7</v>
      </c>
      <c r="B6" s="9" t="s">
        <v>8</v>
      </c>
      <c r="C6" s="10" t="s">
        <v>9</v>
      </c>
      <c r="E6" s="11"/>
      <c r="F6" s="12" t="s">
        <v>10</v>
      </c>
      <c r="G6" s="12"/>
      <c r="H6" s="12"/>
    </row>
    <row r="7" customFormat="false" ht="30" hidden="false" customHeight="true" outlineLevel="0" collapsed="false">
      <c r="A7" s="8" t="s">
        <v>11</v>
      </c>
      <c r="B7" s="13" t="n">
        <v>300</v>
      </c>
      <c r="C7" s="10" t="s">
        <v>12</v>
      </c>
      <c r="E7" s="14"/>
      <c r="F7" s="12" t="s">
        <v>13</v>
      </c>
      <c r="G7" s="12"/>
      <c r="H7" s="12"/>
    </row>
    <row r="8" customFormat="false" ht="30" hidden="false" customHeight="true" outlineLevel="0" collapsed="false">
      <c r="A8" s="8" t="s">
        <v>14</v>
      </c>
      <c r="B8" s="15" t="n">
        <v>46327</v>
      </c>
      <c r="C8" s="10" t="s">
        <v>15</v>
      </c>
      <c r="E8" s="16" t="s">
        <v>16</v>
      </c>
      <c r="F8" s="12" t="s">
        <v>17</v>
      </c>
      <c r="G8" s="12"/>
      <c r="H8" s="12"/>
    </row>
    <row r="9" customFormat="false" ht="30" hidden="false" customHeight="true" outlineLevel="0" collapsed="false">
      <c r="A9" s="8" t="s">
        <v>18</v>
      </c>
      <c r="B9" s="17" t="n">
        <f aca="false">SUM(Debts!$C$5:$C$14)</f>
        <v>43950</v>
      </c>
      <c r="C9" s="10" t="s">
        <v>19</v>
      </c>
      <c r="E9" s="18" t="s">
        <v>20</v>
      </c>
      <c r="F9" s="12" t="s">
        <v>21</v>
      </c>
      <c r="G9" s="12"/>
      <c r="H9" s="12"/>
    </row>
    <row r="10" customFormat="false" ht="30" hidden="false" customHeight="true" outlineLevel="0" collapsed="false">
      <c r="A10" s="8" t="s">
        <v>22</v>
      </c>
      <c r="B10" s="17" t="n">
        <f aca="false">SUMIFS(Debts!$E$5:$E$14,Debts!$C$5:$C$14,"&gt;0")+N(B7)</f>
        <v>1220</v>
      </c>
      <c r="C10" s="10" t="s">
        <v>23</v>
      </c>
      <c r="E10" s="19" t="s">
        <v>24</v>
      </c>
      <c r="F10" s="20" t="s">
        <v>25</v>
      </c>
      <c r="G10" s="20"/>
      <c r="H10" s="20"/>
    </row>
    <row r="11" customFormat="false" ht="30" hidden="false" customHeight="true" outlineLevel="0" collapsed="false">
      <c r="A11" s="8" t="s">
        <v>26</v>
      </c>
      <c r="B11" s="21" t="n">
        <f aca="false">IF(B6="Avalanche",H18,G18)</f>
        <v>42</v>
      </c>
      <c r="C11" s="10" t="s">
        <v>27</v>
      </c>
      <c r="F11" s="22" t="s">
        <v>28</v>
      </c>
      <c r="G11" s="23" t="n">
        <f aca="false">COUNTIF(Checks!$B$5:$B$10,"Review")</f>
        <v>0</v>
      </c>
      <c r="H11" s="24" t="str">
        <f aca="false">IF(G11=0,"All clear","Open the Checks tab")</f>
        <v>All clear</v>
      </c>
    </row>
    <row r="12" customFormat="false" ht="30" hidden="false" customHeight="true" outlineLevel="0" collapsed="false">
      <c r="A12" s="8" t="s">
        <v>29</v>
      </c>
      <c r="B12" s="25" t="n">
        <f aca="false">IF(ISNUMBER(B11),EDATE(B8,B11-1),"")</f>
        <v>47574</v>
      </c>
      <c r="C12" s="10" t="s">
        <v>30</v>
      </c>
    </row>
    <row r="13" customFormat="false" ht="30" hidden="false" customHeight="true" outlineLevel="0" collapsed="false">
      <c r="A13" s="8" t="s">
        <v>31</v>
      </c>
      <c r="B13" s="17" t="n">
        <f aca="false">IF(B6="Avalanche",H20,G20)</f>
        <v>7088.14</v>
      </c>
      <c r="C13" s="10" t="s">
        <v>32</v>
      </c>
    </row>
    <row r="14" customFormat="false" ht="30" hidden="false" customHeight="true" outlineLevel="0" collapsed="false">
      <c r="A14" s="8" t="s">
        <v>33</v>
      </c>
      <c r="B14" s="17" t="n">
        <f aca="false">IF(COUNTIF(Debts!$K$5:$K$14,"Never")&gt;0,"n/a",SUM(Debts!$L$5:$L$14)-B13)</f>
        <v>8476.86</v>
      </c>
      <c r="C14" s="10" t="s">
        <v>34</v>
      </c>
    </row>
    <row r="15" customFormat="false" ht="15" hidden="false" customHeight="true" outlineLevel="0" collapsed="false"/>
    <row r="16" customFormat="false" ht="21.75" hidden="false" customHeight="true" outlineLevel="0" collapsed="false">
      <c r="A16" s="4" t="s">
        <v>35</v>
      </c>
      <c r="B16" s="5"/>
      <c r="C16" s="5"/>
      <c r="E16" s="4" t="s">
        <v>36</v>
      </c>
      <c r="F16" s="5"/>
      <c r="G16" s="5"/>
      <c r="H16" s="5"/>
    </row>
    <row r="17" customFormat="false" ht="15" hidden="false" customHeight="false" outlineLevel="0" collapsed="false">
      <c r="A17" s="6" t="s">
        <v>37</v>
      </c>
      <c r="B17" s="6" t="s">
        <v>38</v>
      </c>
      <c r="E17" s="6" t="s">
        <v>39</v>
      </c>
      <c r="G17" s="7" t="s">
        <v>8</v>
      </c>
      <c r="H17" s="7" t="s">
        <v>40</v>
      </c>
    </row>
    <row r="18" customFormat="false" ht="19.5" hidden="false" customHeight="true" outlineLevel="0" collapsed="false">
      <c r="A18" s="26" t="s">
        <v>41</v>
      </c>
      <c r="B18" s="27" t="s">
        <v>42</v>
      </c>
      <c r="C18" s="27"/>
      <c r="E18" s="27" t="s">
        <v>43</v>
      </c>
      <c r="F18" s="27"/>
      <c r="G18" s="28" t="n">
        <f aca="false">IF(COUNTIF(Snowball!$E$5:$E$364,"&gt;0.005")&gt;=360,"Over 30 years",COUNTIF(Snowball!$E$5:$E$364,"&gt;0.005")+1)</f>
        <v>42</v>
      </c>
      <c r="H18" s="28" t="n">
        <f aca="false">IF(COUNTIF(Avalanche!$E$5:$E$364,"&gt;0.005")&gt;=360,"Over 30 years",COUNTIF(Avalanche!$E$5:$E$364,"&gt;0.005")+1)</f>
        <v>42</v>
      </c>
    </row>
    <row r="19" customFormat="false" ht="19.5" hidden="false" customHeight="true" outlineLevel="0" collapsed="false">
      <c r="A19" s="26" t="s">
        <v>8</v>
      </c>
      <c r="B19" s="27" t="s">
        <v>44</v>
      </c>
      <c r="C19" s="27"/>
      <c r="E19" s="27" t="s">
        <v>45</v>
      </c>
      <c r="F19" s="27"/>
      <c r="G19" s="29" t="n">
        <f aca="false">IF(ISNUMBER(G18),EDATE($B$8,G18-1),"")</f>
        <v>47574</v>
      </c>
      <c r="H19" s="29" t="n">
        <f aca="false">IF(ISNUMBER(H18),EDATE($B$8,H18-1),"")</f>
        <v>47574</v>
      </c>
    </row>
    <row r="20" customFormat="false" ht="19.5" hidden="false" customHeight="true" outlineLevel="0" collapsed="false">
      <c r="A20" s="26" t="s">
        <v>40</v>
      </c>
      <c r="B20" s="27" t="s">
        <v>46</v>
      </c>
      <c r="C20" s="27"/>
      <c r="E20" s="27" t="s">
        <v>47</v>
      </c>
      <c r="F20" s="27"/>
      <c r="G20" s="30" t="n">
        <f aca="false">SUM(Snowball!$D$5:$D$364)</f>
        <v>7088.14</v>
      </c>
      <c r="H20" s="30" t="n">
        <f aca="false">SUM(Avalanche!$D$5:$D$364)</f>
        <v>6609.76</v>
      </c>
    </row>
    <row r="21" customFormat="false" ht="19.5" hidden="false" customHeight="true" outlineLevel="0" collapsed="false">
      <c r="A21" s="26" t="s">
        <v>48</v>
      </c>
      <c r="B21" s="27" t="s">
        <v>49</v>
      </c>
      <c r="C21" s="27"/>
      <c r="E21" s="27" t="s">
        <v>50</v>
      </c>
      <c r="F21" s="27"/>
      <c r="G21" s="30" t="n">
        <f aca="false">SUM(Snowball!$C$5:$C$364)</f>
        <v>51038.14</v>
      </c>
      <c r="H21" s="30" t="n">
        <f aca="false">SUM(Avalanche!$C$5:$C$364)</f>
        <v>50559.76</v>
      </c>
    </row>
    <row r="22" customFormat="false" ht="19.5" hidden="false" customHeight="true" outlineLevel="0" collapsed="false">
      <c r="A22" s="26" t="s">
        <v>51</v>
      </c>
      <c r="B22" s="27" t="s">
        <v>52</v>
      </c>
      <c r="C22" s="27"/>
      <c r="E22" s="27" t="s">
        <v>53</v>
      </c>
      <c r="F22" s="27"/>
      <c r="G22" s="28" t="n">
        <f aca="false">IF(COUNT(Snowball!$P$3:$Y$3)=0,"",MIN(Snowball!$P$3:$Y$3))</f>
        <v>3</v>
      </c>
      <c r="H22" s="28" t="n">
        <f aca="false">IF(COUNT(Avalanche!$P$3:$Y$3)=0,"",MIN(Avalanche!$P$3:$Y$3))</f>
        <v>4</v>
      </c>
    </row>
    <row r="24" customFormat="false" ht="21.75" hidden="false" customHeight="true" outlineLevel="0" collapsed="false">
      <c r="E24" s="4" t="s">
        <v>54</v>
      </c>
      <c r="F24" s="5"/>
      <c r="G24" s="5"/>
      <c r="H24" s="5"/>
    </row>
    <row r="25" customFormat="false" ht="15" hidden="false" customHeight="false" outlineLevel="0" collapsed="false">
      <c r="E25" s="6" t="s">
        <v>55</v>
      </c>
      <c r="G25" s="7" t="s">
        <v>8</v>
      </c>
      <c r="H25" s="7" t="s">
        <v>40</v>
      </c>
    </row>
    <row r="26" customFormat="false" ht="19.5" hidden="false" customHeight="true" outlineLevel="0" collapsed="false">
      <c r="E26" s="31" t="n">
        <f aca="false">YEAR(EDATE($B$8,11))</f>
        <v>2027</v>
      </c>
      <c r="F26" s="31"/>
      <c r="G26" s="30" t="n">
        <f aca="false">INDEX(Snowball!$E$5:$E$364,12)</f>
        <v>33174.14</v>
      </c>
      <c r="H26" s="30" t="n">
        <f aca="false">INDEX(Avalanche!$E$5:$E$364,12)</f>
        <v>32990.03</v>
      </c>
    </row>
    <row r="27" customFormat="false" ht="19.5" hidden="false" customHeight="true" outlineLevel="0" collapsed="false">
      <c r="E27" s="31" t="n">
        <f aca="false">YEAR(EDATE($B$8,23))</f>
        <v>2028</v>
      </c>
      <c r="F27" s="31"/>
      <c r="G27" s="30" t="n">
        <f aca="false">INDEX(Snowball!$E$5:$E$364,24)</f>
        <v>20810.58</v>
      </c>
      <c r="H27" s="30" t="n">
        <f aca="false">INDEX(Avalanche!$E$5:$E$364,24)</f>
        <v>20375.22</v>
      </c>
    </row>
    <row r="28" customFormat="false" ht="19.5" hidden="false" customHeight="true" outlineLevel="0" collapsed="false">
      <c r="E28" s="31" t="n">
        <f aca="false">YEAR(EDATE($B$8,35))</f>
        <v>2029</v>
      </c>
      <c r="F28" s="31"/>
      <c r="G28" s="30" t="n">
        <f aca="false">INDEX(Snowball!$E$5:$E$364,36)</f>
        <v>7007.6</v>
      </c>
      <c r="H28" s="30" t="n">
        <f aca="false">INDEX(Avalanche!$E$5:$E$364,36)</f>
        <v>6542.17</v>
      </c>
    </row>
    <row r="29" customFormat="false" ht="19.5" hidden="false" customHeight="true" outlineLevel="0" collapsed="false">
      <c r="E29" s="31" t="n">
        <f aca="false">YEAR(EDATE($B$8,47))</f>
        <v>2030</v>
      </c>
      <c r="F29" s="31"/>
      <c r="G29" s="30" t="n">
        <f aca="false">INDEX(Snowball!$E$5:$E$364,48)</f>
        <v>0</v>
      </c>
      <c r="H29" s="30" t="n">
        <f aca="false">INDEX(Avalanche!$E$5:$E$364,48)</f>
        <v>0</v>
      </c>
    </row>
    <row r="30" customFormat="false" ht="19.5" hidden="false" customHeight="true" outlineLevel="0" collapsed="false">
      <c r="E30" s="31" t="n">
        <f aca="false">YEAR(EDATE($B$8,59))</f>
        <v>2031</v>
      </c>
      <c r="F30" s="31"/>
      <c r="G30" s="30" t="n">
        <f aca="false">INDEX(Snowball!$E$5:$E$364,60)</f>
        <v>0</v>
      </c>
      <c r="H30" s="30" t="n">
        <f aca="false">INDEX(Avalanche!$E$5:$E$364,60)</f>
        <v>0</v>
      </c>
    </row>
    <row r="31" customFormat="false" ht="19.5" hidden="false" customHeight="true" outlineLevel="0" collapsed="false">
      <c r="E31" s="31" t="n">
        <f aca="false">YEAR(EDATE($B$8,71))</f>
        <v>2032</v>
      </c>
      <c r="F31" s="31"/>
      <c r="G31" s="30" t="n">
        <f aca="false">INDEX(Snowball!$E$5:$E$364,72)</f>
        <v>0</v>
      </c>
      <c r="H31" s="30" t="n">
        <f aca="false">INDEX(Avalanche!$E$5:$E$364,72)</f>
        <v>0</v>
      </c>
    </row>
  </sheetData>
  <mergeCells count="22">
    <mergeCell ref="A2:H2"/>
    <mergeCell ref="F6:H6"/>
    <mergeCell ref="F7:H7"/>
    <mergeCell ref="F8:H8"/>
    <mergeCell ref="F9:H9"/>
    <mergeCell ref="F10:H10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E26:F26"/>
    <mergeCell ref="E27:F27"/>
    <mergeCell ref="E28:F28"/>
    <mergeCell ref="E29:F29"/>
    <mergeCell ref="E30:F30"/>
    <mergeCell ref="E31:F31"/>
  </mergeCells>
  <conditionalFormatting sqref="G18:G22">
    <cfRule type="expression" priority="2" aboveAverage="0" equalAverage="0" bottom="0" percent="0" rank="0" text="" dxfId="0">
      <formula>$B$6&lt;&gt;"Avalanche"</formula>
    </cfRule>
  </conditionalFormatting>
  <conditionalFormatting sqref="H18:H22">
    <cfRule type="expression" priority="3" aboveAverage="0" equalAverage="0" bottom="0" percent="0" rank="0" text="" dxfId="0">
      <formula>$B$6="Avalanche"</formula>
    </cfRule>
  </conditionalFormatting>
  <dataValidations count="3">
    <dataValidation allowBlank="true" error="Choose a value from the dropdown. You can edit the choices on the Lists sheet." errorStyle="stop" errorTitle="Pick from the list" operator="between" showDropDown="false" showErrorMessage="true" showInputMessage="false" sqref="B6" type="list">
      <formula1>Lists!$A$5:$A$6</formula1>
      <formula2>0</formula2>
    </dataValidation>
    <dataValidation allowBlank="true" error="Enter an amount, 0 or more." errorStyle="stop" errorTitle="Check this value" operator="greaterThanOrEqual" showDropDown="false" showErrorMessage="true" showInputMessage="false" sqref="B7" type="decimal">
      <formula1>0</formula1>
      <formula2>0</formula2>
    </dataValidation>
    <dataValidation allowBlank="true" error="Enter a date, for example 2026-11-01." errorStyle="stop" errorTitle="Check this value" operator="greaterThan" showDropDown="false" showErrorMessage="true" showInputMessage="false" sqref="B8" type="date">
      <formula1>36526</formula1>
      <formula2>0</formula2>
    </dataValidation>
  </dataValidations>
  <hyperlinks>
    <hyperlink ref="F10" r:id="rId1" display="Step-by-step guide: arumsoft.com/resources"/>
    <hyperlink ref="F11" location="'Checks'!A1" display="Checks needing review"/>
    <hyperlink ref="A18" location="'Debts'!A1" display="Debts"/>
    <hyperlink ref="A19" location="'Snowball'!A1" display="Snowball"/>
    <hyperlink ref="A20" location="'Avalanche'!A1" display="Avalanche"/>
    <hyperlink ref="A21" location="'Lists'!A1" display="Lists"/>
    <hyperlink ref="A22" location="'Checks'!A1" display="Checks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M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7" min="6" style="0" width="11"/>
    <col collapsed="false" customWidth="true" hidden="false" outlineLevel="0" max="9" min="8" style="0" width="13"/>
    <col collapsed="false" customWidth="true" hidden="false" outlineLevel="0" max="11" min="10" style="0" width="14"/>
    <col collapsed="false" customWidth="true" hidden="false" outlineLevel="0" max="12" min="12" style="0" width="15"/>
    <col collapsed="false" customWidth="true" hidden="false" outlineLevel="0" max="13" min="13" style="0" width="26"/>
  </cols>
  <sheetData>
    <row r="1" customFormat="false" ht="33.75" hidden="false" customHeight="true" outlineLevel="0" collapsed="false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1.75" hidden="false" customHeight="true" outlineLevel="0" collapsed="false">
      <c r="A2" s="32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57</v>
      </c>
      <c r="B4" s="34" t="s">
        <v>58</v>
      </c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35" t="s">
        <v>64</v>
      </c>
      <c r="I4" s="34" t="s">
        <v>65</v>
      </c>
      <c r="J4" s="35" t="s">
        <v>66</v>
      </c>
      <c r="K4" s="35" t="s">
        <v>67</v>
      </c>
      <c r="L4" s="35" t="s">
        <v>68</v>
      </c>
      <c r="M4" s="34" t="s">
        <v>6</v>
      </c>
    </row>
    <row r="5" customFormat="false" ht="18.75" hidden="false" customHeight="true" outlineLevel="0" collapsed="false">
      <c r="A5" s="36" t="n">
        <v>1</v>
      </c>
      <c r="B5" s="37" t="s">
        <v>69</v>
      </c>
      <c r="C5" s="38" t="n">
        <v>1150</v>
      </c>
      <c r="D5" s="39" t="n">
        <v>0.2699</v>
      </c>
      <c r="E5" s="38" t="n">
        <v>35</v>
      </c>
      <c r="F5" s="40" t="n">
        <f aca="false">IF(N(C5)&lt;=0,"",COUNTIFS($C$5:$C$14,"&gt;0",$C$5:$C$14,"&lt;"&amp;C5)+COUNTIFS($C$5:$C$14,C5,$A$5:$A$14,"&lt;"&amp;A5)+1)</f>
        <v>2</v>
      </c>
      <c r="G5" s="40" t="n">
        <f aca="false">IF(N(C5)&lt;=0,"",COUNTIFS($C$5:$C$14,"&gt;0",$D$5:$D$14,"&gt;"&amp;N(D5))+COUNTIFS($C$5:$C$14,"&gt;0",$D$5:$D$14,N(D5),$C$5:$C$14,"&lt;"&amp;C5)+COUNTIFS($C$5:$C$14,C5,$D$5:$D$14,N(D5),$A$5:$A$14,"&lt;"&amp;A5)+1)</f>
        <v>1</v>
      </c>
      <c r="H5" s="40" t="n">
        <f aca="false">IF(N(C5)&lt;=0,"",IF('Start Here'!$B$6="Avalanche",Avalanche!P$3,Snowball!P$3))</f>
        <v>6</v>
      </c>
      <c r="I5" s="41" t="n">
        <f aca="false">IF(ISNUMBER(H5),EDATE('Start Here'!$B$8,H5-1),"")</f>
        <v>46478</v>
      </c>
      <c r="J5" s="42" t="n">
        <f aca="false">IF(N(C5)&lt;=0,"",ROUND(IF('Start Here'!$B$6="Avalanche",SUM(Avalanche!Z$5:Z$364)-N(C5)-SUM(Avalanche!P$5:P$363),SUM(Snowball!Z$5:Z$364)-N(C5)-SUM(Snowball!P$5:P$363)),2))</f>
        <v>117.87</v>
      </c>
      <c r="K5" s="40" t="n">
        <f aca="false">IF(N(C5)&lt;=0,"",IFERROR(ROUNDUP(NPER(N(D5)/12,-N(E5),C5),0),"Never"))</f>
        <v>61</v>
      </c>
      <c r="L5" s="42" t="n">
        <f aca="false">IF(ISNUMBER(K5),MAX(0,K5*N(E5)-C5),"")</f>
        <v>985</v>
      </c>
      <c r="M5" s="43"/>
    </row>
    <row r="6" customFormat="false" ht="18.75" hidden="false" customHeight="true" outlineLevel="0" collapsed="false">
      <c r="A6" s="36" t="n">
        <v>2</v>
      </c>
      <c r="B6" s="37" t="s">
        <v>70</v>
      </c>
      <c r="C6" s="38" t="n">
        <v>6800</v>
      </c>
      <c r="D6" s="39" t="n">
        <v>0.2249</v>
      </c>
      <c r="E6" s="38" t="n">
        <v>170</v>
      </c>
      <c r="F6" s="40" t="n">
        <f aca="false">IF(N(C6)&lt;=0,"",COUNTIFS($C$5:$C$14,"&gt;0",$C$5:$C$14,"&lt;"&amp;C6)+COUNTIFS($C$5:$C$14,C6,$A$5:$A$14,"&lt;"&amp;A6)+1)</f>
        <v>4</v>
      </c>
      <c r="G6" s="40" t="n">
        <f aca="false">IF(N(C6)&lt;=0,"",COUNTIFS($C$5:$C$14,"&gt;0",$D$5:$D$14,"&gt;"&amp;N(D6))+COUNTIFS($C$5:$C$14,"&gt;0",$D$5:$D$14,N(D6),$C$5:$C$14,"&lt;"&amp;C6)+COUNTIFS($C$5:$C$14,C6,$D$5:$D$14,N(D6),$A$5:$A$14,"&lt;"&amp;A6)+1)</f>
        <v>2</v>
      </c>
      <c r="H6" s="40" t="n">
        <f aca="false">IF(N(C6)&lt;=0,"",IF('Start Here'!$B$6="Avalanche",Avalanche!Q$3,Snowball!Q$3))</f>
        <v>23</v>
      </c>
      <c r="I6" s="41" t="n">
        <f aca="false">IF(ISNUMBER(H6),EDATE('Start Here'!$B$8,H6-1),"")</f>
        <v>46997</v>
      </c>
      <c r="J6" s="42" t="n">
        <f aca="false">IF(N(C6)&lt;=0,"",ROUND(IF('Start Here'!$B$6="Avalanche",SUM(Avalanche!AA$5:AA$364)-N(C6)-SUM(Avalanche!Q$5:Q$363),SUM(Snowball!AA$5:AA$364)-N(C6)-SUM(Snowball!Q$5:Q$363)),2))</f>
        <v>2209.46</v>
      </c>
      <c r="K6" s="40" t="n">
        <f aca="false">IF(N(C6)&lt;=0,"",IFERROR(ROUNDUP(NPER(N(D6)/12,-N(E6),C6),0),"Never"))</f>
        <v>75</v>
      </c>
      <c r="L6" s="42" t="n">
        <f aca="false">IF(ISNUMBER(K6),MAX(0,K6*N(E6)-C6),"")</f>
        <v>5950</v>
      </c>
      <c r="M6" s="43"/>
    </row>
    <row r="7" customFormat="false" ht="18.75" hidden="false" customHeight="true" outlineLevel="0" collapsed="false">
      <c r="A7" s="36" t="n">
        <v>3</v>
      </c>
      <c r="B7" s="37" t="s">
        <v>71</v>
      </c>
      <c r="C7" s="38" t="n">
        <v>12400</v>
      </c>
      <c r="D7" s="39" t="n">
        <v>0.079</v>
      </c>
      <c r="E7" s="38" t="n">
        <v>310</v>
      </c>
      <c r="F7" s="40" t="n">
        <f aca="false">IF(N(C7)&lt;=0,"",COUNTIFS($C$5:$C$14,"&gt;0",$C$5:$C$14,"&lt;"&amp;C7)+COUNTIFS($C$5:$C$14,C7,$A$5:$A$14,"&lt;"&amp;A7)+1)</f>
        <v>5</v>
      </c>
      <c r="G7" s="40" t="n">
        <f aca="false">IF(N(C7)&lt;=0,"",COUNTIFS($C$5:$C$14,"&gt;0",$D$5:$D$14,"&gt;"&amp;N(D7))+COUNTIFS($C$5:$C$14,"&gt;0",$D$5:$D$14,N(D7),$C$5:$C$14,"&lt;"&amp;C7)+COUNTIFS($C$5:$C$14,C7,$D$5:$D$14,N(D7),$A$5:$A$14,"&lt;"&amp;A7)+1)</f>
        <v>4</v>
      </c>
      <c r="H7" s="40" t="n">
        <f aca="false">IF(N(C7)&lt;=0,"",IF('Start Here'!$B$6="Avalanche",Avalanche!R$3,Snowball!R$3))</f>
        <v>30</v>
      </c>
      <c r="I7" s="41" t="n">
        <f aca="false">IF(ISNUMBER(H7),EDATE('Start Here'!$B$8,H7-1),"")</f>
        <v>47209</v>
      </c>
      <c r="J7" s="42" t="n">
        <f aca="false">IF(N(C7)&lt;=0,"",ROUND(IF('Start Here'!$B$6="Avalanche",SUM(Avalanche!AB$5:AB$364)-N(C7)-SUM(Avalanche!R$5:R$363),SUM(Snowball!AB$5:AB$364)-N(C7)-SUM(Snowball!R$5:R$363)),2))</f>
        <v>1640.92</v>
      </c>
      <c r="K7" s="40" t="n">
        <f aca="false">IF(N(C7)&lt;=0,"",IFERROR(ROUNDUP(NPER(N(D7)/12,-N(E7),C7),0),"Never"))</f>
        <v>47</v>
      </c>
      <c r="L7" s="42" t="n">
        <f aca="false">IF(ISNUMBER(K7),MAX(0,K7*N(E7)-C7),"")</f>
        <v>2170</v>
      </c>
      <c r="M7" s="43"/>
    </row>
    <row r="8" customFormat="false" ht="18.75" hidden="false" customHeight="true" outlineLevel="0" collapsed="false">
      <c r="A8" s="36" t="n">
        <v>4</v>
      </c>
      <c r="B8" s="37" t="s">
        <v>72</v>
      </c>
      <c r="C8" s="38" t="n">
        <v>4200</v>
      </c>
      <c r="D8" s="39" t="n">
        <v>0.135</v>
      </c>
      <c r="E8" s="38" t="n">
        <v>145</v>
      </c>
      <c r="F8" s="40" t="n">
        <f aca="false">IF(N(C8)&lt;=0,"",COUNTIFS($C$5:$C$14,"&gt;0",$C$5:$C$14,"&lt;"&amp;C8)+COUNTIFS($C$5:$C$14,C8,$A$5:$A$14,"&lt;"&amp;A8)+1)</f>
        <v>3</v>
      </c>
      <c r="G8" s="40" t="n">
        <f aca="false">IF(N(C8)&lt;=0,"",COUNTIFS($C$5:$C$14,"&gt;0",$D$5:$D$14,"&gt;"&amp;N(D8))+COUNTIFS($C$5:$C$14,"&gt;0",$D$5:$D$14,N(D8),$C$5:$C$14,"&lt;"&amp;C8)+COUNTIFS($C$5:$C$14,C8,$D$5:$D$14,N(D8),$A$5:$A$14,"&lt;"&amp;A8)+1)</f>
        <v>3</v>
      </c>
      <c r="H8" s="40" t="n">
        <f aca="false">IF(N(C8)&lt;=0,"",IF('Start Here'!$B$6="Avalanche",Avalanche!S$3,Snowball!S$3))</f>
        <v>13</v>
      </c>
      <c r="I8" s="41" t="n">
        <f aca="false">IF(ISNUMBER(H8),EDATE('Start Here'!$B$8,H8-1),"")</f>
        <v>46692</v>
      </c>
      <c r="J8" s="42" t="n">
        <f aca="false">IF(N(C8)&lt;=0,"",ROUND(IF('Start Here'!$B$6="Avalanche",SUM(Avalanche!AC$5:AC$364)-N(C8)-SUM(Avalanche!S$5:S$363),SUM(Snowball!AC$5:AC$364)-N(C8)-SUM(Snowball!S$5:S$363)),2))</f>
        <v>420.58</v>
      </c>
      <c r="K8" s="40" t="n">
        <f aca="false">IF(N(C8)&lt;=0,"",IFERROR(ROUNDUP(NPER(N(D8)/12,-N(E8),C8),0),"Never"))</f>
        <v>36</v>
      </c>
      <c r="L8" s="42" t="n">
        <f aca="false">IF(ISNUMBER(K8),MAX(0,K8*N(E8)-C8),"")</f>
        <v>1020</v>
      </c>
      <c r="M8" s="43"/>
    </row>
    <row r="9" customFormat="false" ht="18.75" hidden="false" customHeight="true" outlineLevel="0" collapsed="false">
      <c r="A9" s="36" t="n">
        <v>5</v>
      </c>
      <c r="B9" s="37" t="s">
        <v>73</v>
      </c>
      <c r="C9" s="38" t="n">
        <v>900</v>
      </c>
      <c r="D9" s="39" t="n">
        <v>0</v>
      </c>
      <c r="E9" s="38" t="n">
        <v>50</v>
      </c>
      <c r="F9" s="40" t="n">
        <f aca="false">IF(N(C9)&lt;=0,"",COUNTIFS($C$5:$C$14,"&gt;0",$C$5:$C$14,"&lt;"&amp;C9)+COUNTIFS($C$5:$C$14,C9,$A$5:$A$14,"&lt;"&amp;A9)+1)</f>
        <v>1</v>
      </c>
      <c r="G9" s="40" t="n">
        <f aca="false">IF(N(C9)&lt;=0,"",COUNTIFS($C$5:$C$14,"&gt;0",$D$5:$D$14,"&gt;"&amp;N(D9))+COUNTIFS($C$5:$C$14,"&gt;0",$D$5:$D$14,N(D9),$C$5:$C$14,"&lt;"&amp;C9)+COUNTIFS($C$5:$C$14,C9,$D$5:$D$14,N(D9),$A$5:$A$14,"&lt;"&amp;A9)+1)</f>
        <v>6</v>
      </c>
      <c r="H9" s="40" t="n">
        <f aca="false">IF(N(C9)&lt;=0,"",IF('Start Here'!$B$6="Avalanche",Avalanche!T$3,Snowball!T$3))</f>
        <v>3</v>
      </c>
      <c r="I9" s="41" t="n">
        <f aca="false">IF(ISNUMBER(H9),EDATE('Start Here'!$B$8,H9-1),"")</f>
        <v>46388</v>
      </c>
      <c r="J9" s="42" t="n">
        <f aca="false">IF(N(C9)&lt;=0,"",ROUND(IF('Start Here'!$B$6="Avalanche",SUM(Avalanche!AD$5:AD$364)-N(C9)-SUM(Avalanche!T$5:T$363),SUM(Snowball!AD$5:AD$364)-N(C9)-SUM(Snowball!T$5:T$363)),2))</f>
        <v>0</v>
      </c>
      <c r="K9" s="40" t="n">
        <f aca="false">IF(N(C9)&lt;=0,"",IFERROR(ROUNDUP(NPER(N(D9)/12,-N(E9),C9),0),"Never"))</f>
        <v>18</v>
      </c>
      <c r="L9" s="42" t="n">
        <f aca="false">IF(ISNUMBER(K9),MAX(0,K9*N(E9)-C9),"")</f>
        <v>0</v>
      </c>
      <c r="M9" s="43"/>
    </row>
    <row r="10" customFormat="false" ht="18.75" hidden="false" customHeight="true" outlineLevel="0" collapsed="false">
      <c r="A10" s="36" t="n">
        <v>6</v>
      </c>
      <c r="B10" s="37" t="s">
        <v>74</v>
      </c>
      <c r="C10" s="38" t="n">
        <v>18500</v>
      </c>
      <c r="D10" s="39" t="n">
        <v>0.055</v>
      </c>
      <c r="E10" s="38" t="n">
        <v>210</v>
      </c>
      <c r="F10" s="40" t="n">
        <f aca="false">IF(N(C10)&lt;=0,"",COUNTIFS($C$5:$C$14,"&gt;0",$C$5:$C$14,"&lt;"&amp;C10)+COUNTIFS($C$5:$C$14,C10,$A$5:$A$14,"&lt;"&amp;A10)+1)</f>
        <v>6</v>
      </c>
      <c r="G10" s="40" t="n">
        <f aca="false">IF(N(C10)&lt;=0,"",COUNTIFS($C$5:$C$14,"&gt;0",$D$5:$D$14,"&gt;"&amp;N(D10))+COUNTIFS($C$5:$C$14,"&gt;0",$D$5:$D$14,N(D10),$C$5:$C$14,"&lt;"&amp;C10)+COUNTIFS($C$5:$C$14,C10,$D$5:$D$14,N(D10),$A$5:$A$14,"&lt;"&amp;A10)+1)</f>
        <v>5</v>
      </c>
      <c r="H10" s="40" t="n">
        <f aca="false">IF(N(C10)&lt;=0,"",IF('Start Here'!$B$6="Avalanche",Avalanche!U$3,Snowball!U$3))</f>
        <v>42</v>
      </c>
      <c r="I10" s="41" t="n">
        <f aca="false">IF(ISNUMBER(H10),EDATE('Start Here'!$B$8,H10-1),"")</f>
        <v>47574</v>
      </c>
      <c r="J10" s="42" t="n">
        <f aca="false">IF(N(C10)&lt;=0,"",ROUND(IF('Start Here'!$B$6="Avalanche",SUM(Avalanche!AE$5:AE$364)-N(C10)-SUM(Avalanche!U$5:U$363),SUM(Snowball!AE$5:AE$364)-N(C10)-SUM(Snowball!U$5:U$363)),2))</f>
        <v>2699.31</v>
      </c>
      <c r="K10" s="40" t="n">
        <f aca="false">IF(N(C10)&lt;=0,"",IFERROR(ROUNDUP(NPER(N(D10)/12,-N(E10),C10),0),"Never"))</f>
        <v>114</v>
      </c>
      <c r="L10" s="42" t="n">
        <f aca="false">IF(ISNUMBER(K10),MAX(0,K10*N(E10)-C10),"")</f>
        <v>5440</v>
      </c>
      <c r="M10" s="43"/>
    </row>
    <row r="11" customFormat="false" ht="18.75" hidden="false" customHeight="true" outlineLevel="0" collapsed="false">
      <c r="A11" s="36" t="n">
        <v>7</v>
      </c>
      <c r="B11" s="37"/>
      <c r="C11" s="38"/>
      <c r="D11" s="39"/>
      <c r="E11" s="38"/>
      <c r="F11" s="40" t="str">
        <f aca="false">IF(N(C11)&lt;=0,"",COUNTIFS($C$5:$C$14,"&gt;0",$C$5:$C$14,"&lt;"&amp;C11)+COUNTIFS($C$5:$C$14,C11,$A$5:$A$14,"&lt;"&amp;A11)+1)</f>
        <v/>
      </c>
      <c r="G11" s="40" t="str">
        <f aca="false">IF(N(C11)&lt;=0,"",COUNTIFS($C$5:$C$14,"&gt;0",$D$5:$D$14,"&gt;"&amp;N(D11))+COUNTIFS($C$5:$C$14,"&gt;0",$D$5:$D$14,N(D11),$C$5:$C$14,"&lt;"&amp;C11)+COUNTIFS($C$5:$C$14,C11,$D$5:$D$14,N(D11),$A$5:$A$14,"&lt;"&amp;A11)+1)</f>
        <v/>
      </c>
      <c r="H11" s="40" t="str">
        <f aca="false">IF(N(C11)&lt;=0,"",IF('Start Here'!$B$6="Avalanche",Avalanche!V$3,Snowball!V$3))</f>
        <v/>
      </c>
      <c r="I11" s="41" t="str">
        <f aca="false">IF(ISNUMBER(H11),EDATE('Start Here'!$B$8,H11-1),"")</f>
        <v/>
      </c>
      <c r="J11" s="42" t="str">
        <f aca="false">IF(N(C11)&lt;=0,"",ROUND(IF('Start Here'!$B$6="Avalanche",SUM(Avalanche!AF$5:AF$364)-N(C11)-SUM(Avalanche!V$5:V$363),SUM(Snowball!AF$5:AF$364)-N(C11)-SUM(Snowball!V$5:V$363)),2))</f>
        <v/>
      </c>
      <c r="K11" s="40" t="str">
        <f aca="false">IF(N(C11)&lt;=0,"",IFERROR(ROUNDUP(NPER(N(D11)/12,-N(E11),C11),0),"Never"))</f>
        <v/>
      </c>
      <c r="L11" s="42" t="str">
        <f aca="false">IF(ISNUMBER(K11),MAX(0,K11*N(E11)-C11),"")</f>
        <v/>
      </c>
      <c r="M11" s="43"/>
    </row>
    <row r="12" customFormat="false" ht="18.75" hidden="false" customHeight="true" outlineLevel="0" collapsed="false">
      <c r="A12" s="36" t="n">
        <v>8</v>
      </c>
      <c r="B12" s="37"/>
      <c r="C12" s="38"/>
      <c r="D12" s="39"/>
      <c r="E12" s="38"/>
      <c r="F12" s="40" t="str">
        <f aca="false">IF(N(C12)&lt;=0,"",COUNTIFS($C$5:$C$14,"&gt;0",$C$5:$C$14,"&lt;"&amp;C12)+COUNTIFS($C$5:$C$14,C12,$A$5:$A$14,"&lt;"&amp;A12)+1)</f>
        <v/>
      </c>
      <c r="G12" s="40" t="str">
        <f aca="false">IF(N(C12)&lt;=0,"",COUNTIFS($C$5:$C$14,"&gt;0",$D$5:$D$14,"&gt;"&amp;N(D12))+COUNTIFS($C$5:$C$14,"&gt;0",$D$5:$D$14,N(D12),$C$5:$C$14,"&lt;"&amp;C12)+COUNTIFS($C$5:$C$14,C12,$D$5:$D$14,N(D12),$A$5:$A$14,"&lt;"&amp;A12)+1)</f>
        <v/>
      </c>
      <c r="H12" s="40" t="str">
        <f aca="false">IF(N(C12)&lt;=0,"",IF('Start Here'!$B$6="Avalanche",Avalanche!W$3,Snowball!W$3))</f>
        <v/>
      </c>
      <c r="I12" s="41" t="str">
        <f aca="false">IF(ISNUMBER(H12),EDATE('Start Here'!$B$8,H12-1),"")</f>
        <v/>
      </c>
      <c r="J12" s="42" t="str">
        <f aca="false">IF(N(C12)&lt;=0,"",ROUND(IF('Start Here'!$B$6="Avalanche",SUM(Avalanche!AG$5:AG$364)-N(C12)-SUM(Avalanche!W$5:W$363),SUM(Snowball!AG$5:AG$364)-N(C12)-SUM(Snowball!W$5:W$363)),2))</f>
        <v/>
      </c>
      <c r="K12" s="40" t="str">
        <f aca="false">IF(N(C12)&lt;=0,"",IFERROR(ROUNDUP(NPER(N(D12)/12,-N(E12),C12),0),"Never"))</f>
        <v/>
      </c>
      <c r="L12" s="42" t="str">
        <f aca="false">IF(ISNUMBER(K12),MAX(0,K12*N(E12)-C12),"")</f>
        <v/>
      </c>
      <c r="M12" s="43"/>
    </row>
    <row r="13" customFormat="false" ht="18.75" hidden="false" customHeight="true" outlineLevel="0" collapsed="false">
      <c r="A13" s="36" t="n">
        <v>9</v>
      </c>
      <c r="B13" s="37"/>
      <c r="C13" s="38"/>
      <c r="D13" s="39"/>
      <c r="E13" s="38"/>
      <c r="F13" s="40" t="str">
        <f aca="false">IF(N(C13)&lt;=0,"",COUNTIFS($C$5:$C$14,"&gt;0",$C$5:$C$14,"&lt;"&amp;C13)+COUNTIFS($C$5:$C$14,C13,$A$5:$A$14,"&lt;"&amp;A13)+1)</f>
        <v/>
      </c>
      <c r="G13" s="40" t="str">
        <f aca="false">IF(N(C13)&lt;=0,"",COUNTIFS($C$5:$C$14,"&gt;0",$D$5:$D$14,"&gt;"&amp;N(D13))+COUNTIFS($C$5:$C$14,"&gt;0",$D$5:$D$14,N(D13),$C$5:$C$14,"&lt;"&amp;C13)+COUNTIFS($C$5:$C$14,C13,$D$5:$D$14,N(D13),$A$5:$A$14,"&lt;"&amp;A13)+1)</f>
        <v/>
      </c>
      <c r="H13" s="40" t="str">
        <f aca="false">IF(N(C13)&lt;=0,"",IF('Start Here'!$B$6="Avalanche",Avalanche!X$3,Snowball!X$3))</f>
        <v/>
      </c>
      <c r="I13" s="41" t="str">
        <f aca="false">IF(ISNUMBER(H13),EDATE('Start Here'!$B$8,H13-1),"")</f>
        <v/>
      </c>
      <c r="J13" s="42" t="str">
        <f aca="false">IF(N(C13)&lt;=0,"",ROUND(IF('Start Here'!$B$6="Avalanche",SUM(Avalanche!AH$5:AH$364)-N(C13)-SUM(Avalanche!X$5:X$363),SUM(Snowball!AH$5:AH$364)-N(C13)-SUM(Snowball!X$5:X$363)),2))</f>
        <v/>
      </c>
      <c r="K13" s="40" t="str">
        <f aca="false">IF(N(C13)&lt;=0,"",IFERROR(ROUNDUP(NPER(N(D13)/12,-N(E13),C13),0),"Never"))</f>
        <v/>
      </c>
      <c r="L13" s="42" t="str">
        <f aca="false">IF(ISNUMBER(K13),MAX(0,K13*N(E13)-C13),"")</f>
        <v/>
      </c>
      <c r="M13" s="43"/>
    </row>
    <row r="14" customFormat="false" ht="18.75" hidden="false" customHeight="true" outlineLevel="0" collapsed="false">
      <c r="A14" s="36" t="n">
        <v>10</v>
      </c>
      <c r="B14" s="37"/>
      <c r="C14" s="38"/>
      <c r="D14" s="39"/>
      <c r="E14" s="38"/>
      <c r="F14" s="40" t="str">
        <f aca="false">IF(N(C14)&lt;=0,"",COUNTIFS($C$5:$C$14,"&gt;0",$C$5:$C$14,"&lt;"&amp;C14)+COUNTIFS($C$5:$C$14,C14,$A$5:$A$14,"&lt;"&amp;A14)+1)</f>
        <v/>
      </c>
      <c r="G14" s="40" t="str">
        <f aca="false">IF(N(C14)&lt;=0,"",COUNTIFS($C$5:$C$14,"&gt;0",$D$5:$D$14,"&gt;"&amp;N(D14))+COUNTIFS($C$5:$C$14,"&gt;0",$D$5:$D$14,N(D14),$C$5:$C$14,"&lt;"&amp;C14)+COUNTIFS($C$5:$C$14,C14,$D$5:$D$14,N(D14),$A$5:$A$14,"&lt;"&amp;A14)+1)</f>
        <v/>
      </c>
      <c r="H14" s="40" t="str">
        <f aca="false">IF(N(C14)&lt;=0,"",IF('Start Here'!$B$6="Avalanche",Avalanche!Y$3,Snowball!Y$3))</f>
        <v/>
      </c>
      <c r="I14" s="41" t="str">
        <f aca="false">IF(ISNUMBER(H14),EDATE('Start Here'!$B$8,H14-1),"")</f>
        <v/>
      </c>
      <c r="J14" s="42" t="str">
        <f aca="false">IF(N(C14)&lt;=0,"",ROUND(IF('Start Here'!$B$6="Avalanche",SUM(Avalanche!AI$5:AI$364)-N(C14)-SUM(Avalanche!Y$5:Y$363),SUM(Snowball!AI$5:AI$364)-N(C14)-SUM(Snowball!Y$5:Y$363)),2))</f>
        <v/>
      </c>
      <c r="K14" s="40" t="str">
        <f aca="false">IF(N(C14)&lt;=0,"",IFERROR(ROUNDUP(NPER(N(D14)/12,-N(E14),C14),0),"Never"))</f>
        <v/>
      </c>
      <c r="L14" s="42" t="str">
        <f aca="false">IF(ISNUMBER(K14),MAX(0,K14*N(E14)-C14),"")</f>
        <v/>
      </c>
      <c r="M14" s="43"/>
    </row>
    <row r="15" customFormat="false" ht="21" hidden="false" customHeight="true" outlineLevel="0" collapsed="false">
      <c r="A15" s="44"/>
      <c r="B15" s="45" t="s">
        <v>75</v>
      </c>
      <c r="C15" s="46" t="n">
        <f aca="false">SUM(C5:C14)</f>
        <v>43950</v>
      </c>
      <c r="D15" s="44"/>
      <c r="E15" s="46" t="n">
        <f aca="false">SUM(E5:E14)</f>
        <v>920</v>
      </c>
      <c r="F15" s="44"/>
      <c r="G15" s="44"/>
      <c r="H15" s="44"/>
      <c r="I15" s="44"/>
      <c r="J15" s="46" t="n">
        <f aca="false">SUM(J5:J14)</f>
        <v>7088.14</v>
      </c>
      <c r="K15" s="44"/>
      <c r="L15" s="44"/>
      <c r="M15" s="44"/>
    </row>
    <row r="17" customFormat="false" ht="15" hidden="false" customHeight="false" outlineLevel="0" collapsed="false">
      <c r="B17" s="47" t="s">
        <v>76</v>
      </c>
    </row>
  </sheetData>
  <conditionalFormatting sqref="K5:K14">
    <cfRule type="expression" priority="2" aboveAverage="0" equalAverage="0" bottom="0" percent="0" rank="0" text="" dxfId="1">
      <formula>K5="Never"</formula>
    </cfRule>
  </conditionalFormatting>
  <dataValidations count="3">
    <dataValidation allowBlank="true" error="Enter the current balance, 0 or more." errorStyle="stop" errorTitle="Check this value" operator="greaterThanOrEqual" showDropDown="false" showErrorMessage="true" showInputMessage="false" sqref="C5:C14" type="decimal">
      <formula1>0</formula1>
      <formula2>0</formula2>
    </dataValidation>
    <dataValidation allowBlank="true" error="Enter the APR as a percentage, for example 19.99%." errorStyle="stop" errorTitle="Check this value" operator="between" showDropDown="false" showErrorMessage="true" showInputMessage="false" sqref="D5:D14" type="decimal">
      <formula1>0</formula1>
      <formula2>1</formula2>
    </dataValidation>
    <dataValidation allowBlank="true" error="Enter the minimum monthly payment." errorStyle="stop" errorTitle="Check this value" operator="greaterThanOrEqual" showDropDown="false" showErrorMessage="true" showInputMessage="false" sqref="E5:E14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AS3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25" min="6" style="0" width="12"/>
    <col collapsed="false" customWidth="true" hidden="false" outlineLevel="0" max="45" min="26" style="0" width="11"/>
  </cols>
  <sheetData>
    <row r="1" customFormat="false" ht="33.75" hidden="false" customHeight="true" outlineLevel="0" collapsed="false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customFormat="false" ht="21.75" hidden="false" customHeight="true" outlineLevel="0" collapsed="false">
      <c r="A2" s="32" t="s">
        <v>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customFormat="false" ht="18" hidden="false" customHeight="true" outlineLevel="0" collapsed="false">
      <c r="F3" s="48" t="n">
        <f aca="false">IF(Debts!$F$5="","",Debts!$F$5)</f>
        <v>2</v>
      </c>
      <c r="G3" s="48" t="n">
        <f aca="false">IF(Debts!$F$6="","",Debts!$F$6)</f>
        <v>4</v>
      </c>
      <c r="H3" s="48" t="n">
        <f aca="false">IF(Debts!$F$7="","",Debts!$F$7)</f>
        <v>5</v>
      </c>
      <c r="I3" s="48" t="n">
        <f aca="false">IF(Debts!$F$8="","",Debts!$F$8)</f>
        <v>3</v>
      </c>
      <c r="J3" s="48" t="n">
        <f aca="false">IF(Debts!$F$9="","",Debts!$F$9)</f>
        <v>1</v>
      </c>
      <c r="K3" s="48" t="n">
        <f aca="false">IF(Debts!$F$10="","",Debts!$F$10)</f>
        <v>6</v>
      </c>
      <c r="L3" s="48" t="str">
        <f aca="false">IF(Debts!$F$11="","",Debts!$F$11)</f>
        <v/>
      </c>
      <c r="M3" s="48" t="str">
        <f aca="false">IF(Debts!$F$12="","",Debts!$F$12)</f>
        <v/>
      </c>
      <c r="N3" s="48" t="str">
        <f aca="false">IF(Debts!$F$13="","",Debts!$F$13)</f>
        <v/>
      </c>
      <c r="O3" s="48" t="str">
        <f aca="false">IF(Debts!$F$14="","",Debts!$F$14)</f>
        <v/>
      </c>
      <c r="P3" s="49" t="n">
        <f aca="false">IF(N(Debts!$C$5)&lt;=0,"",IF(COUNTIF(P$5:P$364,"&gt;0.005")&gt;=360,"Over 30 yrs",COUNTIF(P$5:P$364,"&gt;0.005")+1))</f>
        <v>6</v>
      </c>
      <c r="Q3" s="49" t="n">
        <f aca="false">IF(N(Debts!$C$6)&lt;=0,"",IF(COUNTIF(Q$5:Q$364,"&gt;0.005")&gt;=360,"Over 30 yrs",COUNTIF(Q$5:Q$364,"&gt;0.005")+1))</f>
        <v>23</v>
      </c>
      <c r="R3" s="49" t="n">
        <f aca="false">IF(N(Debts!$C$7)&lt;=0,"",IF(COUNTIF(R$5:R$364,"&gt;0.005")&gt;=360,"Over 30 yrs",COUNTIF(R$5:R$364,"&gt;0.005")+1))</f>
        <v>30</v>
      </c>
      <c r="S3" s="49" t="n">
        <f aca="false">IF(N(Debts!$C$8)&lt;=0,"",IF(COUNTIF(S$5:S$364,"&gt;0.005")&gt;=360,"Over 30 yrs",COUNTIF(S$5:S$364,"&gt;0.005")+1))</f>
        <v>13</v>
      </c>
      <c r="T3" s="49" t="n">
        <f aca="false">IF(N(Debts!$C$9)&lt;=0,"",IF(COUNTIF(T$5:T$364,"&gt;0.005")&gt;=360,"Over 30 yrs",COUNTIF(T$5:T$364,"&gt;0.005")+1))</f>
        <v>3</v>
      </c>
      <c r="U3" s="49" t="n">
        <f aca="false">IF(N(Debts!$C$10)&lt;=0,"",IF(COUNTIF(U$5:U$364,"&gt;0.005")&gt;=360,"Over 30 yrs",COUNTIF(U$5:U$364,"&gt;0.005")+1))</f>
        <v>42</v>
      </c>
      <c r="V3" s="49" t="str">
        <f aca="false">IF(N(Debts!$C$11)&lt;=0,"",IF(COUNTIF(V$5:V$364,"&gt;0.005")&gt;=360,"Over 30 yrs",COUNTIF(V$5:V$364,"&gt;0.005")+1))</f>
        <v/>
      </c>
      <c r="W3" s="49" t="str">
        <f aca="false">IF(N(Debts!$C$12)&lt;=0,"",IF(COUNTIF(W$5:W$364,"&gt;0.005")&gt;=360,"Over 30 yrs",COUNTIF(W$5:W$364,"&gt;0.005")+1))</f>
        <v/>
      </c>
      <c r="X3" s="49" t="str">
        <f aca="false">IF(N(Debts!$C$13)&lt;=0,"",IF(COUNTIF(X$5:X$364,"&gt;0.005")&gt;=360,"Over 30 yrs",COUNTIF(X$5:X$364,"&gt;0.005")+1))</f>
        <v/>
      </c>
      <c r="Y3" s="49" t="str">
        <f aca="false">IF(N(Debts!$C$14)&lt;=0,"",IF(COUNTIF(Y$5:Y$364,"&gt;0.005")&gt;=360,"Over 30 yrs",COUNTIF(Y$5:Y$364,"&gt;0.005")+1))</f>
        <v/>
      </c>
      <c r="Z3" s="50" t="n">
        <f aca="false">IF(Debts!$F$5="",99,Debts!$F$5)</f>
        <v>2</v>
      </c>
      <c r="AA3" s="50" t="n">
        <f aca="false">IF(Debts!$F$6="",99,Debts!$F$6)</f>
        <v>4</v>
      </c>
      <c r="AB3" s="50" t="n">
        <f aca="false">IF(Debts!$F$7="",99,Debts!$F$7)</f>
        <v>5</v>
      </c>
      <c r="AC3" s="50" t="n">
        <f aca="false">IF(Debts!$F$8="",99,Debts!$F$8)</f>
        <v>3</v>
      </c>
      <c r="AD3" s="50" t="n">
        <f aca="false">IF(Debts!$F$9="",99,Debts!$F$9)</f>
        <v>1</v>
      </c>
      <c r="AE3" s="50" t="n">
        <f aca="false">IF(Debts!$F$10="",99,Debts!$F$10)</f>
        <v>6</v>
      </c>
      <c r="AF3" s="50" t="n">
        <f aca="false">IF(Debts!$F$11="",99,Debts!$F$11)</f>
        <v>99</v>
      </c>
      <c r="AG3" s="50" t="n">
        <f aca="false">IF(Debts!$F$12="",99,Debts!$F$12)</f>
        <v>99</v>
      </c>
      <c r="AH3" s="50" t="n">
        <f aca="false">IF(Debts!$F$13="",99,Debts!$F$13)</f>
        <v>99</v>
      </c>
      <c r="AI3" s="50" t="n">
        <f aca="false">IF(Debts!$F$14="",99,Debts!$F$14)</f>
        <v>99</v>
      </c>
    </row>
    <row r="4" customFormat="false" ht="30" hidden="false" customHeight="true" outlineLevel="0" collapsed="false">
      <c r="A4" s="34" t="s">
        <v>79</v>
      </c>
      <c r="B4" s="34" t="s">
        <v>80</v>
      </c>
      <c r="C4" s="35" t="s">
        <v>81</v>
      </c>
      <c r="D4" s="35" t="s">
        <v>82</v>
      </c>
      <c r="E4" s="35" t="s">
        <v>83</v>
      </c>
      <c r="F4" s="51" t="str">
        <f aca="false">"Pay: "&amp;IF(Debts!$B$5="","Debt 1",Debts!$B$5)</f>
        <v>Pay: Store credit card</v>
      </c>
      <c r="G4" s="51" t="str">
        <f aca="false">"Pay: "&amp;IF(Debts!$B$6="","Debt 2",Debts!$B$6)</f>
        <v>Pay: Visa credit card</v>
      </c>
      <c r="H4" s="51" t="str">
        <f aca="false">"Pay: "&amp;IF(Debts!$B$7="","Debt 3",Debts!$B$7)</f>
        <v>Pay: Car loan</v>
      </c>
      <c r="I4" s="51" t="str">
        <f aca="false">"Pay: "&amp;IF(Debts!$B$8="","Debt 4",Debts!$B$8)</f>
        <v>Pay: Personal loan</v>
      </c>
      <c r="J4" s="51" t="str">
        <f aca="false">"Pay: "&amp;IF(Debts!$B$9="","Debt 5",Debts!$B$9)</f>
        <v>Pay: Medical bill</v>
      </c>
      <c r="K4" s="51" t="str">
        <f aca="false">"Pay: "&amp;IF(Debts!$B$10="","Debt 6",Debts!$B$10)</f>
        <v>Pay: Student loan</v>
      </c>
      <c r="L4" s="51" t="str">
        <f aca="false">"Pay: "&amp;IF(Debts!$B$11="","Debt 7",Debts!$B$11)</f>
        <v>Pay: Debt 7</v>
      </c>
      <c r="M4" s="51" t="str">
        <f aca="false">"Pay: "&amp;IF(Debts!$B$12="","Debt 8",Debts!$B$12)</f>
        <v>Pay: Debt 8</v>
      </c>
      <c r="N4" s="51" t="str">
        <f aca="false">"Pay: "&amp;IF(Debts!$B$13="","Debt 9",Debts!$B$13)</f>
        <v>Pay: Debt 9</v>
      </c>
      <c r="O4" s="51" t="str">
        <f aca="false">"Pay: "&amp;IF(Debts!$B$14="","Debt 10",Debts!$B$14)</f>
        <v>Pay: Debt 10</v>
      </c>
      <c r="P4" s="51" t="str">
        <f aca="false">"Left: "&amp;IF(Debts!$B$5="","Debt 1",Debts!$B$5)</f>
        <v>Left: Store credit card</v>
      </c>
      <c r="Q4" s="51" t="str">
        <f aca="false">"Left: "&amp;IF(Debts!$B$6="","Debt 2",Debts!$B$6)</f>
        <v>Left: Visa credit card</v>
      </c>
      <c r="R4" s="51" t="str">
        <f aca="false">"Left: "&amp;IF(Debts!$B$7="","Debt 3",Debts!$B$7)</f>
        <v>Left: Car loan</v>
      </c>
      <c r="S4" s="51" t="str">
        <f aca="false">"Left: "&amp;IF(Debts!$B$8="","Debt 4",Debts!$B$8)</f>
        <v>Left: Personal loan</v>
      </c>
      <c r="T4" s="51" t="str">
        <f aca="false">"Left: "&amp;IF(Debts!$B$9="","Debt 5",Debts!$B$9)</f>
        <v>Left: Medical bill</v>
      </c>
      <c r="U4" s="51" t="str">
        <f aca="false">"Left: "&amp;IF(Debts!$B$10="","Debt 6",Debts!$B$10)</f>
        <v>Left: Student loan</v>
      </c>
      <c r="V4" s="51" t="str">
        <f aca="false">"Left: "&amp;IF(Debts!$B$11="","Debt 7",Debts!$B$11)</f>
        <v>Left: Debt 7</v>
      </c>
      <c r="W4" s="51" t="str">
        <f aca="false">"Left: "&amp;IF(Debts!$B$12="","Debt 8",Debts!$B$12)</f>
        <v>Left: Debt 8</v>
      </c>
      <c r="X4" s="51" t="str">
        <f aca="false">"Left: "&amp;IF(Debts!$B$13="","Debt 9",Debts!$B$13)</f>
        <v>Left: Debt 9</v>
      </c>
      <c r="Y4" s="51" t="str">
        <f aca="false">"Left: "&amp;IF(Debts!$B$14="","Debt 10",Debts!$B$14)</f>
        <v>Left: Debt 10</v>
      </c>
      <c r="Z4" s="52" t="str">
        <f aca="false">"Owed: "&amp;IF(Debts!$B$5="","Debt 1",Debts!$B$5)</f>
        <v>Owed: Store credit card</v>
      </c>
      <c r="AA4" s="52" t="str">
        <f aca="false">"Owed: "&amp;IF(Debts!$B$6="","Debt 2",Debts!$B$6)</f>
        <v>Owed: Visa credit card</v>
      </c>
      <c r="AB4" s="52" t="str">
        <f aca="false">"Owed: "&amp;IF(Debts!$B$7="","Debt 3",Debts!$B$7)</f>
        <v>Owed: Car loan</v>
      </c>
      <c r="AC4" s="52" t="str">
        <f aca="false">"Owed: "&amp;IF(Debts!$B$8="","Debt 4",Debts!$B$8)</f>
        <v>Owed: Personal loan</v>
      </c>
      <c r="AD4" s="52" t="str">
        <f aca="false">"Owed: "&amp;IF(Debts!$B$9="","Debt 5",Debts!$B$9)</f>
        <v>Owed: Medical bill</v>
      </c>
      <c r="AE4" s="52" t="str">
        <f aca="false">"Owed: "&amp;IF(Debts!$B$10="","Debt 6",Debts!$B$10)</f>
        <v>Owed: Student loan</v>
      </c>
      <c r="AF4" s="52" t="str">
        <f aca="false">"Owed: "&amp;IF(Debts!$B$11="","Debt 7",Debts!$B$11)</f>
        <v>Owed: Debt 7</v>
      </c>
      <c r="AG4" s="52" t="str">
        <f aca="false">"Owed: "&amp;IF(Debts!$B$12="","Debt 8",Debts!$B$12)</f>
        <v>Owed: Debt 8</v>
      </c>
      <c r="AH4" s="52" t="str">
        <f aca="false">"Owed: "&amp;IF(Debts!$B$13="","Debt 9",Debts!$B$13)</f>
        <v>Owed: Debt 9</v>
      </c>
      <c r="AI4" s="52" t="str">
        <f aca="false">"Owed: "&amp;IF(Debts!$B$14="","Debt 10",Debts!$B$14)</f>
        <v>Owed: Debt 10</v>
      </c>
      <c r="AJ4" s="52" t="str">
        <f aca="false">"Min: "&amp;IF(Debts!$B$5="","Debt 1",Debts!$B$5)</f>
        <v>Min: Store credit card</v>
      </c>
      <c r="AK4" s="52" t="str">
        <f aca="false">"Min: "&amp;IF(Debts!$B$6="","Debt 2",Debts!$B$6)</f>
        <v>Min: Visa credit card</v>
      </c>
      <c r="AL4" s="52" t="str">
        <f aca="false">"Min: "&amp;IF(Debts!$B$7="","Debt 3",Debts!$B$7)</f>
        <v>Min: Car loan</v>
      </c>
      <c r="AM4" s="52" t="str">
        <f aca="false">"Min: "&amp;IF(Debts!$B$8="","Debt 4",Debts!$B$8)</f>
        <v>Min: Personal loan</v>
      </c>
      <c r="AN4" s="52" t="str">
        <f aca="false">"Min: "&amp;IF(Debts!$B$9="","Debt 5",Debts!$B$9)</f>
        <v>Min: Medical bill</v>
      </c>
      <c r="AO4" s="52" t="str">
        <f aca="false">"Min: "&amp;IF(Debts!$B$10="","Debt 6",Debts!$B$10)</f>
        <v>Min: Student loan</v>
      </c>
      <c r="AP4" s="52" t="str">
        <f aca="false">"Min: "&amp;IF(Debts!$B$11="","Debt 7",Debts!$B$11)</f>
        <v>Min: Debt 7</v>
      </c>
      <c r="AQ4" s="52" t="str">
        <f aca="false">"Min: "&amp;IF(Debts!$B$12="","Debt 8",Debts!$B$12)</f>
        <v>Min: Debt 8</v>
      </c>
      <c r="AR4" s="52" t="str">
        <f aca="false">"Min: "&amp;IF(Debts!$B$13="","Debt 9",Debts!$B$13)</f>
        <v>Min: Debt 9</v>
      </c>
      <c r="AS4" s="52" t="str">
        <f aca="false">"Min: "&amp;IF(Debts!$B$14="","Debt 10",Debts!$B$14)</f>
        <v>Min: Debt 10</v>
      </c>
    </row>
    <row r="5" customFormat="false" ht="15" hidden="false" customHeight="false" outlineLevel="0" collapsed="false">
      <c r="A5" s="53" t="n">
        <v>1</v>
      </c>
      <c r="B5" s="54" t="n">
        <f aca="false">EDATE('Start Here'!$B$8,0)</f>
        <v>46327</v>
      </c>
      <c r="C5" s="42" t="n">
        <f aca="false">SUM(F5:O5)</f>
        <v>1220</v>
      </c>
      <c r="D5" s="42" t="n">
        <f aca="false">ROUND(SUM($Z5:$AI5)-SUM(Debts!$C$5:$C$14),2)</f>
        <v>366.98</v>
      </c>
      <c r="E5" s="55" t="n">
        <f aca="false">SUM(P5:Y5)</f>
        <v>43096.98</v>
      </c>
      <c r="F5" s="42" t="n">
        <f aca="false">AJ5+MIN(Z5-AJ5,MAX(0,'Start Here'!$B$10-SUM($AJ5:$AS5)-SUMPRODUCT(($Z$3:$AI$3&lt;Z$3)*($Z5:$AI5-$AJ5:$AS5))))</f>
        <v>35</v>
      </c>
      <c r="G5" s="42" t="n">
        <f aca="false">AK5+MIN(AA5-AK5,MAX(0,'Start Here'!$B$10-SUM($AJ5:$AS5)-SUMPRODUCT(($Z$3:$AI$3&lt;AA$3)*($Z5:$AI5-$AJ5:$AS5))))</f>
        <v>170</v>
      </c>
      <c r="H5" s="42" t="n">
        <f aca="false">AL5+MIN(AB5-AL5,MAX(0,'Start Here'!$B$10-SUM($AJ5:$AS5)-SUMPRODUCT(($Z$3:$AI$3&lt;AB$3)*($Z5:$AI5-$AJ5:$AS5))))</f>
        <v>310</v>
      </c>
      <c r="I5" s="42" t="n">
        <f aca="false">AM5+MIN(AC5-AM5,MAX(0,'Start Here'!$B$10-SUM($AJ5:$AS5)-SUMPRODUCT(($Z$3:$AI$3&lt;AC$3)*($Z5:$AI5-$AJ5:$AS5))))</f>
        <v>145</v>
      </c>
      <c r="J5" s="42" t="n">
        <f aca="false">AN5+MIN(AD5-AN5,MAX(0,'Start Here'!$B$10-SUM($AJ5:$AS5)-SUMPRODUCT(($Z$3:$AI$3&lt;AD$3)*($Z5:$AI5-$AJ5:$AS5))))</f>
        <v>350</v>
      </c>
      <c r="K5" s="42" t="n">
        <f aca="false">AO5+MIN(AE5-AO5,MAX(0,'Start Here'!$B$10-SUM($AJ5:$AS5)-SUMPRODUCT(($Z$3:$AI$3&lt;AE$3)*($Z5:$AI5-$AJ5:$AS5))))</f>
        <v>210</v>
      </c>
      <c r="L5" s="42" t="n">
        <f aca="false">AP5+MIN(AF5-AP5,MAX(0,'Start Here'!$B$10-SUM($AJ5:$AS5)-SUMPRODUCT(($Z$3:$AI$3&lt;AF$3)*($Z5:$AI5-$AJ5:$AS5))))</f>
        <v>0</v>
      </c>
      <c r="M5" s="42" t="n">
        <f aca="false">AQ5+MIN(AG5-AQ5,MAX(0,'Start Here'!$B$10-SUM($AJ5:$AS5)-SUMPRODUCT(($Z$3:$AI$3&lt;AG$3)*($Z5:$AI5-$AJ5:$AS5))))</f>
        <v>0</v>
      </c>
      <c r="N5" s="42" t="n">
        <f aca="false">AR5+MIN(AH5-AR5,MAX(0,'Start Here'!$B$10-SUM($AJ5:$AS5)-SUMPRODUCT(($Z$3:$AI$3&lt;AH$3)*($Z5:$AI5-$AJ5:$AS5))))</f>
        <v>0</v>
      </c>
      <c r="O5" s="42" t="n">
        <f aca="false">AS5+MIN(AI5-AS5,MAX(0,'Start Here'!$B$10-SUM($AJ5:$AS5)-SUMPRODUCT(($Z$3:$AI$3&lt;AI$3)*($Z5:$AI5-$AJ5:$AS5))))</f>
        <v>0</v>
      </c>
      <c r="P5" s="42" t="n">
        <f aca="false">ROUND(Z5-F5,2)</f>
        <v>1140.87</v>
      </c>
      <c r="Q5" s="42" t="n">
        <f aca="false">ROUND(AA5-G5,2)</f>
        <v>6757.44</v>
      </c>
      <c r="R5" s="42" t="n">
        <f aca="false">ROUND(AB5-H5,2)</f>
        <v>12171.63</v>
      </c>
      <c r="S5" s="42" t="n">
        <f aca="false">ROUND(AC5-I5,2)</f>
        <v>4102.25</v>
      </c>
      <c r="T5" s="42" t="n">
        <f aca="false">ROUND(AD5-J5,2)</f>
        <v>550</v>
      </c>
      <c r="U5" s="42" t="n">
        <f aca="false">ROUND(AE5-K5,2)</f>
        <v>18374.79</v>
      </c>
      <c r="V5" s="42" t="n">
        <f aca="false">ROUND(AF5-L5,2)</f>
        <v>0</v>
      </c>
      <c r="W5" s="42" t="n">
        <f aca="false">ROUND(AG5-M5,2)</f>
        <v>0</v>
      </c>
      <c r="X5" s="42" t="n">
        <f aca="false">ROUND(AH5-N5,2)</f>
        <v>0</v>
      </c>
      <c r="Y5" s="42" t="n">
        <f aca="false">ROUND(AI5-O5,2)</f>
        <v>0</v>
      </c>
      <c r="Z5" s="56" t="n">
        <f aca="false">ROUND(MAX(0,N(Debts!$C$5))*(1+N(Debts!$D$5)/12),2)</f>
        <v>1175.87</v>
      </c>
      <c r="AA5" s="56" t="n">
        <f aca="false">ROUND(MAX(0,N(Debts!$C$6))*(1+N(Debts!$D$6)/12),2)</f>
        <v>6927.44</v>
      </c>
      <c r="AB5" s="56" t="n">
        <f aca="false">ROUND(MAX(0,N(Debts!$C$7))*(1+N(Debts!$D$7)/12),2)</f>
        <v>12481.63</v>
      </c>
      <c r="AC5" s="56" t="n">
        <f aca="false">ROUND(MAX(0,N(Debts!$C$8))*(1+N(Debts!$D$8)/12),2)</f>
        <v>4247.25</v>
      </c>
      <c r="AD5" s="56" t="n">
        <f aca="false">ROUND(MAX(0,N(Debts!$C$9))*(1+N(Debts!$D$9)/12),2)</f>
        <v>900</v>
      </c>
      <c r="AE5" s="56" t="n">
        <f aca="false">ROUND(MAX(0,N(Debts!$C$10))*(1+N(Debts!$D$10)/12),2)</f>
        <v>18584.79</v>
      </c>
      <c r="AF5" s="56" t="n">
        <f aca="false">ROUND(MAX(0,N(Debts!$C$11))*(1+N(Debts!$D$11)/12),2)</f>
        <v>0</v>
      </c>
      <c r="AG5" s="56" t="n">
        <f aca="false">ROUND(MAX(0,N(Debts!$C$12))*(1+N(Debts!$D$12)/12),2)</f>
        <v>0</v>
      </c>
      <c r="AH5" s="56" t="n">
        <f aca="false">ROUND(MAX(0,N(Debts!$C$13))*(1+N(Debts!$D$13)/12),2)</f>
        <v>0</v>
      </c>
      <c r="AI5" s="56" t="n">
        <f aca="false">ROUND(MAX(0,N(Debts!$C$14))*(1+N(Debts!$D$14)/12),2)</f>
        <v>0</v>
      </c>
      <c r="AJ5" s="56" t="n">
        <f aca="false">MIN(Z5,MAX(0,N(Debts!$E$5)))</f>
        <v>35</v>
      </c>
      <c r="AK5" s="56" t="n">
        <f aca="false">MIN(AA5,MAX(0,N(Debts!$E$6)))</f>
        <v>170</v>
      </c>
      <c r="AL5" s="56" t="n">
        <f aca="false">MIN(AB5,MAX(0,N(Debts!$E$7)))</f>
        <v>310</v>
      </c>
      <c r="AM5" s="56" t="n">
        <f aca="false">MIN(AC5,MAX(0,N(Debts!$E$8)))</f>
        <v>145</v>
      </c>
      <c r="AN5" s="56" t="n">
        <f aca="false">MIN(AD5,MAX(0,N(Debts!$E$9)))</f>
        <v>50</v>
      </c>
      <c r="AO5" s="56" t="n">
        <f aca="false">MIN(AE5,MAX(0,N(Debts!$E$10)))</f>
        <v>210</v>
      </c>
      <c r="AP5" s="56" t="n">
        <f aca="false">MIN(AF5,MAX(0,N(Debts!$E$11)))</f>
        <v>0</v>
      </c>
      <c r="AQ5" s="56" t="n">
        <f aca="false">MIN(AG5,MAX(0,N(Debts!$E$12)))</f>
        <v>0</v>
      </c>
      <c r="AR5" s="56" t="n">
        <f aca="false">MIN(AH5,MAX(0,N(Debts!$E$13)))</f>
        <v>0</v>
      </c>
      <c r="AS5" s="56" t="n">
        <f aca="false">MIN(AI5,MAX(0,N(Debts!$E$14)))</f>
        <v>0</v>
      </c>
    </row>
    <row r="6" customFormat="false" ht="15" hidden="false" customHeight="false" outlineLevel="0" collapsed="false">
      <c r="A6" s="53" t="n">
        <v>2</v>
      </c>
      <c r="B6" s="54" t="n">
        <f aca="false">EDATE('Start Here'!$B$8,1)</f>
        <v>46357</v>
      </c>
      <c r="C6" s="42" t="n">
        <f aca="false">SUM(F6:O6)</f>
        <v>1220</v>
      </c>
      <c r="D6" s="42" t="n">
        <f aca="false">ROUND(SUM($Z6:$AI6)-SUM(P5:Y5),2)</f>
        <v>362.81</v>
      </c>
      <c r="E6" s="55" t="n">
        <f aca="false">SUM(P6:Y6)</f>
        <v>42239.79</v>
      </c>
      <c r="F6" s="42" t="n">
        <f aca="false">AJ6+MIN(Z6-AJ6,MAX(0,'Start Here'!$B$10-SUM($AJ6:$AS6)-SUMPRODUCT(($Z$3:$AI$3&lt;Z$3)*($Z6:$AI6-$AJ6:$AS6))))</f>
        <v>35</v>
      </c>
      <c r="G6" s="42" t="n">
        <f aca="false">AK6+MIN(AA6-AK6,MAX(0,'Start Here'!$B$10-SUM($AJ6:$AS6)-SUMPRODUCT(($Z$3:$AI$3&lt;AA$3)*($Z6:$AI6-$AJ6:$AS6))))</f>
        <v>170</v>
      </c>
      <c r="H6" s="42" t="n">
        <f aca="false">AL6+MIN(AB6-AL6,MAX(0,'Start Here'!$B$10-SUM($AJ6:$AS6)-SUMPRODUCT(($Z$3:$AI$3&lt;AB$3)*($Z6:$AI6-$AJ6:$AS6))))</f>
        <v>310</v>
      </c>
      <c r="I6" s="42" t="n">
        <f aca="false">AM6+MIN(AC6-AM6,MAX(0,'Start Here'!$B$10-SUM($AJ6:$AS6)-SUMPRODUCT(($Z$3:$AI$3&lt;AC$3)*($Z6:$AI6-$AJ6:$AS6))))</f>
        <v>145</v>
      </c>
      <c r="J6" s="42" t="n">
        <f aca="false">AN6+MIN(AD6-AN6,MAX(0,'Start Here'!$B$10-SUM($AJ6:$AS6)-SUMPRODUCT(($Z$3:$AI$3&lt;AD$3)*($Z6:$AI6-$AJ6:$AS6))))</f>
        <v>350</v>
      </c>
      <c r="K6" s="42" t="n">
        <f aca="false">AO6+MIN(AE6-AO6,MAX(0,'Start Here'!$B$10-SUM($AJ6:$AS6)-SUMPRODUCT(($Z$3:$AI$3&lt;AE$3)*($Z6:$AI6-$AJ6:$AS6))))</f>
        <v>210</v>
      </c>
      <c r="L6" s="42" t="n">
        <f aca="false">AP6+MIN(AF6-AP6,MAX(0,'Start Here'!$B$10-SUM($AJ6:$AS6)-SUMPRODUCT(($Z$3:$AI$3&lt;AF$3)*($Z6:$AI6-$AJ6:$AS6))))</f>
        <v>0</v>
      </c>
      <c r="M6" s="42" t="n">
        <f aca="false">AQ6+MIN(AG6-AQ6,MAX(0,'Start Here'!$B$10-SUM($AJ6:$AS6)-SUMPRODUCT(($Z$3:$AI$3&lt;AG$3)*($Z6:$AI6-$AJ6:$AS6))))</f>
        <v>0</v>
      </c>
      <c r="N6" s="42" t="n">
        <f aca="false">AR6+MIN(AH6-AR6,MAX(0,'Start Here'!$B$10-SUM($AJ6:$AS6)-SUMPRODUCT(($Z$3:$AI$3&lt;AH$3)*($Z6:$AI6-$AJ6:$AS6))))</f>
        <v>0</v>
      </c>
      <c r="O6" s="42" t="n">
        <f aca="false">AS6+MIN(AI6-AS6,MAX(0,'Start Here'!$B$10-SUM($AJ6:$AS6)-SUMPRODUCT(($Z$3:$AI$3&lt;AI$3)*($Z6:$AI6-$AJ6:$AS6))))</f>
        <v>0</v>
      </c>
      <c r="P6" s="42" t="n">
        <f aca="false">ROUND(Z6-F6,2)</f>
        <v>1131.53</v>
      </c>
      <c r="Q6" s="42" t="n">
        <f aca="false">ROUND(AA6-G6,2)</f>
        <v>6714.09</v>
      </c>
      <c r="R6" s="42" t="n">
        <f aca="false">ROUND(AB6-H6,2)</f>
        <v>11941.76</v>
      </c>
      <c r="S6" s="42" t="n">
        <f aca="false">ROUND(AC6-I6,2)</f>
        <v>4003.4</v>
      </c>
      <c r="T6" s="42" t="n">
        <f aca="false">ROUND(AD6-J6,2)</f>
        <v>200</v>
      </c>
      <c r="U6" s="42" t="n">
        <f aca="false">ROUND(AE6-K6,2)</f>
        <v>18249.01</v>
      </c>
      <c r="V6" s="42" t="n">
        <f aca="false">ROUND(AF6-L6,2)</f>
        <v>0</v>
      </c>
      <c r="W6" s="42" t="n">
        <f aca="false">ROUND(AG6-M6,2)</f>
        <v>0</v>
      </c>
      <c r="X6" s="42" t="n">
        <f aca="false">ROUND(AH6-N6,2)</f>
        <v>0</v>
      </c>
      <c r="Y6" s="42" t="n">
        <f aca="false">ROUND(AI6-O6,2)</f>
        <v>0</v>
      </c>
      <c r="Z6" s="56" t="n">
        <f aca="false">ROUND(P5*(1+N(Debts!$D$5)/12),2)</f>
        <v>1166.53</v>
      </c>
      <c r="AA6" s="56" t="n">
        <f aca="false">ROUND(Q5*(1+N(Debts!$D$6)/12),2)</f>
        <v>6884.09</v>
      </c>
      <c r="AB6" s="56" t="n">
        <f aca="false">ROUND(R5*(1+N(Debts!$D$7)/12),2)</f>
        <v>12251.76</v>
      </c>
      <c r="AC6" s="56" t="n">
        <f aca="false">ROUND(S5*(1+N(Debts!$D$8)/12),2)</f>
        <v>4148.4</v>
      </c>
      <c r="AD6" s="56" t="n">
        <f aca="false">ROUND(T5*(1+N(Debts!$D$9)/12),2)</f>
        <v>550</v>
      </c>
      <c r="AE6" s="56" t="n">
        <f aca="false">ROUND(U5*(1+N(Debts!$D$10)/12),2)</f>
        <v>18459.01</v>
      </c>
      <c r="AF6" s="56" t="n">
        <f aca="false">ROUND(V5*(1+N(Debts!$D$11)/12),2)</f>
        <v>0</v>
      </c>
      <c r="AG6" s="56" t="n">
        <f aca="false">ROUND(W5*(1+N(Debts!$D$12)/12),2)</f>
        <v>0</v>
      </c>
      <c r="AH6" s="56" t="n">
        <f aca="false">ROUND(X5*(1+N(Debts!$D$13)/12),2)</f>
        <v>0</v>
      </c>
      <c r="AI6" s="56" t="n">
        <f aca="false">ROUND(Y5*(1+N(Debts!$D$14)/12),2)</f>
        <v>0</v>
      </c>
      <c r="AJ6" s="56" t="n">
        <f aca="false">MIN(Z6,MAX(0,N(Debts!$E$5)))</f>
        <v>35</v>
      </c>
      <c r="AK6" s="56" t="n">
        <f aca="false">MIN(AA6,MAX(0,N(Debts!$E$6)))</f>
        <v>170</v>
      </c>
      <c r="AL6" s="56" t="n">
        <f aca="false">MIN(AB6,MAX(0,N(Debts!$E$7)))</f>
        <v>310</v>
      </c>
      <c r="AM6" s="56" t="n">
        <f aca="false">MIN(AC6,MAX(0,N(Debts!$E$8)))</f>
        <v>145</v>
      </c>
      <c r="AN6" s="56" t="n">
        <f aca="false">MIN(AD6,MAX(0,N(Debts!$E$9)))</f>
        <v>50</v>
      </c>
      <c r="AO6" s="56" t="n">
        <f aca="false">MIN(AE6,MAX(0,N(Debts!$E$10)))</f>
        <v>210</v>
      </c>
      <c r="AP6" s="56" t="n">
        <f aca="false">MIN(AF6,MAX(0,N(Debts!$E$11)))</f>
        <v>0</v>
      </c>
      <c r="AQ6" s="56" t="n">
        <f aca="false">MIN(AG6,MAX(0,N(Debts!$E$12)))</f>
        <v>0</v>
      </c>
      <c r="AR6" s="56" t="n">
        <f aca="false">MIN(AH6,MAX(0,N(Debts!$E$13)))</f>
        <v>0</v>
      </c>
      <c r="AS6" s="56" t="n">
        <f aca="false">MIN(AI6,MAX(0,N(Debts!$E$14)))</f>
        <v>0</v>
      </c>
    </row>
    <row r="7" customFormat="false" ht="15" hidden="false" customHeight="false" outlineLevel="0" collapsed="false">
      <c r="A7" s="53" t="n">
        <v>3</v>
      </c>
      <c r="B7" s="54" t="n">
        <f aca="false">EDATE('Start Here'!$B$8,2)</f>
        <v>46388</v>
      </c>
      <c r="C7" s="42" t="n">
        <f aca="false">SUM(F7:O7)</f>
        <v>1220</v>
      </c>
      <c r="D7" s="42" t="n">
        <f aca="false">ROUND(SUM($Z7:$AI7)-SUM(P6:Y6),2)</f>
        <v>358.58</v>
      </c>
      <c r="E7" s="55" t="n">
        <f aca="false">SUM(P7:Y7)</f>
        <v>41378.37</v>
      </c>
      <c r="F7" s="42" t="n">
        <f aca="false">AJ7+MIN(Z7-AJ7,MAX(0,'Start Here'!$B$10-SUM($AJ7:$AS7)-SUMPRODUCT(($Z$3:$AI$3&lt;Z$3)*($Z7:$AI7-$AJ7:$AS7))))</f>
        <v>185</v>
      </c>
      <c r="G7" s="42" t="n">
        <f aca="false">AK7+MIN(AA7-AK7,MAX(0,'Start Here'!$B$10-SUM($AJ7:$AS7)-SUMPRODUCT(($Z$3:$AI$3&lt;AA$3)*($Z7:$AI7-$AJ7:$AS7))))</f>
        <v>170</v>
      </c>
      <c r="H7" s="42" t="n">
        <f aca="false">AL7+MIN(AB7-AL7,MAX(0,'Start Here'!$B$10-SUM($AJ7:$AS7)-SUMPRODUCT(($Z$3:$AI$3&lt;AB$3)*($Z7:$AI7-$AJ7:$AS7))))</f>
        <v>310</v>
      </c>
      <c r="I7" s="42" t="n">
        <f aca="false">AM7+MIN(AC7-AM7,MAX(0,'Start Here'!$B$10-SUM($AJ7:$AS7)-SUMPRODUCT(($Z$3:$AI$3&lt;AC$3)*($Z7:$AI7-$AJ7:$AS7))))</f>
        <v>145</v>
      </c>
      <c r="J7" s="42" t="n">
        <f aca="false">AN7+MIN(AD7-AN7,MAX(0,'Start Here'!$B$10-SUM($AJ7:$AS7)-SUMPRODUCT(($Z$3:$AI$3&lt;AD$3)*($Z7:$AI7-$AJ7:$AS7))))</f>
        <v>200</v>
      </c>
      <c r="K7" s="42" t="n">
        <f aca="false">AO7+MIN(AE7-AO7,MAX(0,'Start Here'!$B$10-SUM($AJ7:$AS7)-SUMPRODUCT(($Z$3:$AI$3&lt;AE$3)*($Z7:$AI7-$AJ7:$AS7))))</f>
        <v>210</v>
      </c>
      <c r="L7" s="42" t="n">
        <f aca="false">AP7+MIN(AF7-AP7,MAX(0,'Start Here'!$B$10-SUM($AJ7:$AS7)-SUMPRODUCT(($Z$3:$AI$3&lt;AF$3)*($Z7:$AI7-$AJ7:$AS7))))</f>
        <v>0</v>
      </c>
      <c r="M7" s="42" t="n">
        <f aca="false">AQ7+MIN(AG7-AQ7,MAX(0,'Start Here'!$B$10-SUM($AJ7:$AS7)-SUMPRODUCT(($Z$3:$AI$3&lt;AG$3)*($Z7:$AI7-$AJ7:$AS7))))</f>
        <v>0</v>
      </c>
      <c r="N7" s="42" t="n">
        <f aca="false">AR7+MIN(AH7-AR7,MAX(0,'Start Here'!$B$10-SUM($AJ7:$AS7)-SUMPRODUCT(($Z$3:$AI$3&lt;AH$3)*($Z7:$AI7-$AJ7:$AS7))))</f>
        <v>0</v>
      </c>
      <c r="O7" s="42" t="n">
        <f aca="false">AS7+MIN(AI7-AS7,MAX(0,'Start Here'!$B$10-SUM($AJ7:$AS7)-SUMPRODUCT(($Z$3:$AI$3&lt;AI$3)*($Z7:$AI7-$AJ7:$AS7))))</f>
        <v>0</v>
      </c>
      <c r="P7" s="42" t="n">
        <f aca="false">ROUND(Z7-F7,2)</f>
        <v>971.98</v>
      </c>
      <c r="Q7" s="42" t="n">
        <f aca="false">ROUND(AA7-G7,2)</f>
        <v>6669.92</v>
      </c>
      <c r="R7" s="42" t="n">
        <f aca="false">ROUND(AB7-H7,2)</f>
        <v>11710.38</v>
      </c>
      <c r="S7" s="42" t="n">
        <f aca="false">ROUND(AC7-I7,2)</f>
        <v>3903.44</v>
      </c>
      <c r="T7" s="42" t="n">
        <f aca="false">ROUND(AD7-J7,2)</f>
        <v>0</v>
      </c>
      <c r="U7" s="42" t="n">
        <f aca="false">ROUND(AE7-K7,2)</f>
        <v>18122.65</v>
      </c>
      <c r="V7" s="42" t="n">
        <f aca="false">ROUND(AF7-L7,2)</f>
        <v>0</v>
      </c>
      <c r="W7" s="42" t="n">
        <f aca="false">ROUND(AG7-M7,2)</f>
        <v>0</v>
      </c>
      <c r="X7" s="42" t="n">
        <f aca="false">ROUND(AH7-N7,2)</f>
        <v>0</v>
      </c>
      <c r="Y7" s="42" t="n">
        <f aca="false">ROUND(AI7-O7,2)</f>
        <v>0</v>
      </c>
      <c r="Z7" s="56" t="n">
        <f aca="false">ROUND(P6*(1+N(Debts!$D$5)/12),2)</f>
        <v>1156.98</v>
      </c>
      <c r="AA7" s="56" t="n">
        <f aca="false">ROUND(Q6*(1+N(Debts!$D$6)/12),2)</f>
        <v>6839.92</v>
      </c>
      <c r="AB7" s="56" t="n">
        <f aca="false">ROUND(R6*(1+N(Debts!$D$7)/12),2)</f>
        <v>12020.38</v>
      </c>
      <c r="AC7" s="56" t="n">
        <f aca="false">ROUND(S6*(1+N(Debts!$D$8)/12),2)</f>
        <v>4048.44</v>
      </c>
      <c r="AD7" s="56" t="n">
        <f aca="false">ROUND(T6*(1+N(Debts!$D$9)/12),2)</f>
        <v>200</v>
      </c>
      <c r="AE7" s="56" t="n">
        <f aca="false">ROUND(U6*(1+N(Debts!$D$10)/12),2)</f>
        <v>18332.65</v>
      </c>
      <c r="AF7" s="56" t="n">
        <f aca="false">ROUND(V6*(1+N(Debts!$D$11)/12),2)</f>
        <v>0</v>
      </c>
      <c r="AG7" s="56" t="n">
        <f aca="false">ROUND(W6*(1+N(Debts!$D$12)/12),2)</f>
        <v>0</v>
      </c>
      <c r="AH7" s="56" t="n">
        <f aca="false">ROUND(X6*(1+N(Debts!$D$13)/12),2)</f>
        <v>0</v>
      </c>
      <c r="AI7" s="56" t="n">
        <f aca="false">ROUND(Y6*(1+N(Debts!$D$14)/12),2)</f>
        <v>0</v>
      </c>
      <c r="AJ7" s="56" t="n">
        <f aca="false">MIN(Z7,MAX(0,N(Debts!$E$5)))</f>
        <v>35</v>
      </c>
      <c r="AK7" s="56" t="n">
        <f aca="false">MIN(AA7,MAX(0,N(Debts!$E$6)))</f>
        <v>170</v>
      </c>
      <c r="AL7" s="56" t="n">
        <f aca="false">MIN(AB7,MAX(0,N(Debts!$E$7)))</f>
        <v>310</v>
      </c>
      <c r="AM7" s="56" t="n">
        <f aca="false">MIN(AC7,MAX(0,N(Debts!$E$8)))</f>
        <v>145</v>
      </c>
      <c r="AN7" s="56" t="n">
        <f aca="false">MIN(AD7,MAX(0,N(Debts!$E$9)))</f>
        <v>50</v>
      </c>
      <c r="AO7" s="56" t="n">
        <f aca="false">MIN(AE7,MAX(0,N(Debts!$E$10)))</f>
        <v>210</v>
      </c>
      <c r="AP7" s="56" t="n">
        <f aca="false">MIN(AF7,MAX(0,N(Debts!$E$11)))</f>
        <v>0</v>
      </c>
      <c r="AQ7" s="56" t="n">
        <f aca="false">MIN(AG7,MAX(0,N(Debts!$E$12)))</f>
        <v>0</v>
      </c>
      <c r="AR7" s="56" t="n">
        <f aca="false">MIN(AH7,MAX(0,N(Debts!$E$13)))</f>
        <v>0</v>
      </c>
      <c r="AS7" s="56" t="n">
        <f aca="false">MIN(AI7,MAX(0,N(Debts!$E$14)))</f>
        <v>0</v>
      </c>
    </row>
    <row r="8" customFormat="false" ht="15" hidden="false" customHeight="false" outlineLevel="0" collapsed="false">
      <c r="A8" s="53" t="n">
        <v>4</v>
      </c>
      <c r="B8" s="54" t="n">
        <f aca="false">EDATE('Start Here'!$B$8,3)</f>
        <v>46419</v>
      </c>
      <c r="C8" s="42" t="n">
        <f aca="false">SUM(F8:O8)</f>
        <v>1220</v>
      </c>
      <c r="D8" s="42" t="n">
        <f aca="false">ROUND(SUM($Z8:$AI8)-SUM(P7:Y7),2)</f>
        <v>350.93</v>
      </c>
      <c r="E8" s="55" t="n">
        <f aca="false">SUM(P8:Y8)</f>
        <v>40509.3</v>
      </c>
      <c r="F8" s="42" t="n">
        <f aca="false">AJ8+MIN(Z8-AJ8,MAX(0,'Start Here'!$B$10-SUM($AJ8:$AS8)-SUMPRODUCT(($Z$3:$AI$3&lt;Z$3)*($Z8:$AI8-$AJ8:$AS8))))</f>
        <v>385</v>
      </c>
      <c r="G8" s="42" t="n">
        <f aca="false">AK8+MIN(AA8-AK8,MAX(0,'Start Here'!$B$10-SUM($AJ8:$AS8)-SUMPRODUCT(($Z$3:$AI$3&lt;AA$3)*($Z8:$AI8-$AJ8:$AS8))))</f>
        <v>170</v>
      </c>
      <c r="H8" s="42" t="n">
        <f aca="false">AL8+MIN(AB8-AL8,MAX(0,'Start Here'!$B$10-SUM($AJ8:$AS8)-SUMPRODUCT(($Z$3:$AI$3&lt;AB$3)*($Z8:$AI8-$AJ8:$AS8))))</f>
        <v>310</v>
      </c>
      <c r="I8" s="42" t="n">
        <f aca="false">AM8+MIN(AC8-AM8,MAX(0,'Start Here'!$B$10-SUM($AJ8:$AS8)-SUMPRODUCT(($Z$3:$AI$3&lt;AC$3)*($Z8:$AI8-$AJ8:$AS8))))</f>
        <v>145</v>
      </c>
      <c r="J8" s="42" t="n">
        <f aca="false">AN8+MIN(AD8-AN8,MAX(0,'Start Here'!$B$10-SUM($AJ8:$AS8)-SUMPRODUCT(($Z$3:$AI$3&lt;AD$3)*($Z8:$AI8-$AJ8:$AS8))))</f>
        <v>0</v>
      </c>
      <c r="K8" s="42" t="n">
        <f aca="false">AO8+MIN(AE8-AO8,MAX(0,'Start Here'!$B$10-SUM($AJ8:$AS8)-SUMPRODUCT(($Z$3:$AI$3&lt;AE$3)*($Z8:$AI8-$AJ8:$AS8))))</f>
        <v>210</v>
      </c>
      <c r="L8" s="42" t="n">
        <f aca="false">AP8+MIN(AF8-AP8,MAX(0,'Start Here'!$B$10-SUM($AJ8:$AS8)-SUMPRODUCT(($Z$3:$AI$3&lt;AF$3)*($Z8:$AI8-$AJ8:$AS8))))</f>
        <v>0</v>
      </c>
      <c r="M8" s="42" t="n">
        <f aca="false">AQ8+MIN(AG8-AQ8,MAX(0,'Start Here'!$B$10-SUM($AJ8:$AS8)-SUMPRODUCT(($Z$3:$AI$3&lt;AG$3)*($Z8:$AI8-$AJ8:$AS8))))</f>
        <v>0</v>
      </c>
      <c r="N8" s="42" t="n">
        <f aca="false">AR8+MIN(AH8-AR8,MAX(0,'Start Here'!$B$10-SUM($AJ8:$AS8)-SUMPRODUCT(($Z$3:$AI$3&lt;AH$3)*($Z8:$AI8-$AJ8:$AS8))))</f>
        <v>0</v>
      </c>
      <c r="O8" s="42" t="n">
        <f aca="false">AS8+MIN(AI8-AS8,MAX(0,'Start Here'!$B$10-SUM($AJ8:$AS8)-SUMPRODUCT(($Z$3:$AI$3&lt;AI$3)*($Z8:$AI8-$AJ8:$AS8))))</f>
        <v>0</v>
      </c>
      <c r="P8" s="42" t="n">
        <f aca="false">ROUND(Z8-F8,2)</f>
        <v>608.84</v>
      </c>
      <c r="Q8" s="42" t="n">
        <f aca="false">ROUND(AA8-G8,2)</f>
        <v>6624.93</v>
      </c>
      <c r="R8" s="42" t="n">
        <f aca="false">ROUND(AB8-H8,2)</f>
        <v>11477.47</v>
      </c>
      <c r="S8" s="42" t="n">
        <f aca="false">ROUND(AC8-I8,2)</f>
        <v>3802.35</v>
      </c>
      <c r="T8" s="42" t="n">
        <f aca="false">ROUND(AD8-J8,2)</f>
        <v>0</v>
      </c>
      <c r="U8" s="42" t="n">
        <f aca="false">ROUND(AE8-K8,2)</f>
        <v>17995.71</v>
      </c>
      <c r="V8" s="42" t="n">
        <f aca="false">ROUND(AF8-L8,2)</f>
        <v>0</v>
      </c>
      <c r="W8" s="42" t="n">
        <f aca="false">ROUND(AG8-M8,2)</f>
        <v>0</v>
      </c>
      <c r="X8" s="42" t="n">
        <f aca="false">ROUND(AH8-N8,2)</f>
        <v>0</v>
      </c>
      <c r="Y8" s="42" t="n">
        <f aca="false">ROUND(AI8-O8,2)</f>
        <v>0</v>
      </c>
      <c r="Z8" s="56" t="n">
        <f aca="false">ROUND(P7*(1+N(Debts!$D$5)/12),2)</f>
        <v>993.84</v>
      </c>
      <c r="AA8" s="56" t="n">
        <f aca="false">ROUND(Q7*(1+N(Debts!$D$6)/12),2)</f>
        <v>6794.93</v>
      </c>
      <c r="AB8" s="56" t="n">
        <f aca="false">ROUND(R7*(1+N(Debts!$D$7)/12),2)</f>
        <v>11787.47</v>
      </c>
      <c r="AC8" s="56" t="n">
        <f aca="false">ROUND(S7*(1+N(Debts!$D$8)/12),2)</f>
        <v>3947.35</v>
      </c>
      <c r="AD8" s="56" t="n">
        <f aca="false">ROUND(T7*(1+N(Debts!$D$9)/12),2)</f>
        <v>0</v>
      </c>
      <c r="AE8" s="56" t="n">
        <f aca="false">ROUND(U7*(1+N(Debts!$D$10)/12),2)</f>
        <v>18205.71</v>
      </c>
      <c r="AF8" s="56" t="n">
        <f aca="false">ROUND(V7*(1+N(Debts!$D$11)/12),2)</f>
        <v>0</v>
      </c>
      <c r="AG8" s="56" t="n">
        <f aca="false">ROUND(W7*(1+N(Debts!$D$12)/12),2)</f>
        <v>0</v>
      </c>
      <c r="AH8" s="56" t="n">
        <f aca="false">ROUND(X7*(1+N(Debts!$D$13)/12),2)</f>
        <v>0</v>
      </c>
      <c r="AI8" s="56" t="n">
        <f aca="false">ROUND(Y7*(1+N(Debts!$D$14)/12),2)</f>
        <v>0</v>
      </c>
      <c r="AJ8" s="56" t="n">
        <f aca="false">MIN(Z8,MAX(0,N(Debts!$E$5)))</f>
        <v>35</v>
      </c>
      <c r="AK8" s="56" t="n">
        <f aca="false">MIN(AA8,MAX(0,N(Debts!$E$6)))</f>
        <v>170</v>
      </c>
      <c r="AL8" s="56" t="n">
        <f aca="false">MIN(AB8,MAX(0,N(Debts!$E$7)))</f>
        <v>310</v>
      </c>
      <c r="AM8" s="56" t="n">
        <f aca="false">MIN(AC8,MAX(0,N(Debts!$E$8)))</f>
        <v>145</v>
      </c>
      <c r="AN8" s="56" t="n">
        <f aca="false">MIN(AD8,MAX(0,N(Debts!$E$9)))</f>
        <v>0</v>
      </c>
      <c r="AO8" s="56" t="n">
        <f aca="false">MIN(AE8,MAX(0,N(Debts!$E$10)))</f>
        <v>210</v>
      </c>
      <c r="AP8" s="56" t="n">
        <f aca="false">MIN(AF8,MAX(0,N(Debts!$E$11)))</f>
        <v>0</v>
      </c>
      <c r="AQ8" s="56" t="n">
        <f aca="false">MIN(AG8,MAX(0,N(Debts!$E$12)))</f>
        <v>0</v>
      </c>
      <c r="AR8" s="56" t="n">
        <f aca="false">MIN(AH8,MAX(0,N(Debts!$E$13)))</f>
        <v>0</v>
      </c>
      <c r="AS8" s="56" t="n">
        <f aca="false">MIN(AI8,MAX(0,N(Debts!$E$14)))</f>
        <v>0</v>
      </c>
    </row>
    <row r="9" customFormat="false" ht="15" hidden="false" customHeight="false" outlineLevel="0" collapsed="false">
      <c r="A9" s="53" t="n">
        <v>5</v>
      </c>
      <c r="B9" s="54" t="n">
        <f aca="false">EDATE('Start Here'!$B$8,4)</f>
        <v>46447</v>
      </c>
      <c r="C9" s="42" t="n">
        <f aca="false">SUM(F9:O9)</f>
        <v>1220</v>
      </c>
      <c r="D9" s="42" t="n">
        <f aca="false">ROUND(SUM($Z9:$AI9)-SUM(P8:Y8),2)</f>
        <v>338.67</v>
      </c>
      <c r="E9" s="55" t="n">
        <f aca="false">SUM(P9:Y9)</f>
        <v>39627.97</v>
      </c>
      <c r="F9" s="42" t="n">
        <f aca="false">AJ9+MIN(Z9-AJ9,MAX(0,'Start Here'!$B$10-SUM($AJ9:$AS9)-SUMPRODUCT(($Z$3:$AI$3&lt;Z$3)*($Z9:$AI9-$AJ9:$AS9))))</f>
        <v>385</v>
      </c>
      <c r="G9" s="42" t="n">
        <f aca="false">AK9+MIN(AA9-AK9,MAX(0,'Start Here'!$B$10-SUM($AJ9:$AS9)-SUMPRODUCT(($Z$3:$AI$3&lt;AA$3)*($Z9:$AI9-$AJ9:$AS9))))</f>
        <v>170</v>
      </c>
      <c r="H9" s="42" t="n">
        <f aca="false">AL9+MIN(AB9-AL9,MAX(0,'Start Here'!$B$10-SUM($AJ9:$AS9)-SUMPRODUCT(($Z$3:$AI$3&lt;AB$3)*($Z9:$AI9-$AJ9:$AS9))))</f>
        <v>310</v>
      </c>
      <c r="I9" s="42" t="n">
        <f aca="false">AM9+MIN(AC9-AM9,MAX(0,'Start Here'!$B$10-SUM($AJ9:$AS9)-SUMPRODUCT(($Z$3:$AI$3&lt;AC$3)*($Z9:$AI9-$AJ9:$AS9))))</f>
        <v>145</v>
      </c>
      <c r="J9" s="42" t="n">
        <f aca="false">AN9+MIN(AD9-AN9,MAX(0,'Start Here'!$B$10-SUM($AJ9:$AS9)-SUMPRODUCT(($Z$3:$AI$3&lt;AD$3)*($Z9:$AI9-$AJ9:$AS9))))</f>
        <v>0</v>
      </c>
      <c r="K9" s="42" t="n">
        <f aca="false">AO9+MIN(AE9-AO9,MAX(0,'Start Here'!$B$10-SUM($AJ9:$AS9)-SUMPRODUCT(($Z$3:$AI$3&lt;AE$3)*($Z9:$AI9-$AJ9:$AS9))))</f>
        <v>210</v>
      </c>
      <c r="L9" s="42" t="n">
        <f aca="false">AP9+MIN(AF9-AP9,MAX(0,'Start Here'!$B$10-SUM($AJ9:$AS9)-SUMPRODUCT(($Z$3:$AI$3&lt;AF$3)*($Z9:$AI9-$AJ9:$AS9))))</f>
        <v>0</v>
      </c>
      <c r="M9" s="42" t="n">
        <f aca="false">AQ9+MIN(AG9-AQ9,MAX(0,'Start Here'!$B$10-SUM($AJ9:$AS9)-SUMPRODUCT(($Z$3:$AI$3&lt;AG$3)*($Z9:$AI9-$AJ9:$AS9))))</f>
        <v>0</v>
      </c>
      <c r="N9" s="42" t="n">
        <f aca="false">AR9+MIN(AH9-AR9,MAX(0,'Start Here'!$B$10-SUM($AJ9:$AS9)-SUMPRODUCT(($Z$3:$AI$3&lt;AH$3)*($Z9:$AI9-$AJ9:$AS9))))</f>
        <v>0</v>
      </c>
      <c r="O9" s="42" t="n">
        <f aca="false">AS9+MIN(AI9-AS9,MAX(0,'Start Here'!$B$10-SUM($AJ9:$AS9)-SUMPRODUCT(($Z$3:$AI$3&lt;AI$3)*($Z9:$AI9-$AJ9:$AS9))))</f>
        <v>0</v>
      </c>
      <c r="P9" s="42" t="n">
        <f aca="false">ROUND(Z9-F9,2)</f>
        <v>237.53</v>
      </c>
      <c r="Q9" s="42" t="n">
        <f aca="false">ROUND(AA9-G9,2)</f>
        <v>6579.09</v>
      </c>
      <c r="R9" s="42" t="n">
        <f aca="false">ROUND(AB9-H9,2)</f>
        <v>11243.03</v>
      </c>
      <c r="S9" s="42" t="n">
        <f aca="false">ROUND(AC9-I9,2)</f>
        <v>3700.13</v>
      </c>
      <c r="T9" s="42" t="n">
        <f aca="false">ROUND(AD9-J9,2)</f>
        <v>0</v>
      </c>
      <c r="U9" s="42" t="n">
        <f aca="false">ROUND(AE9-K9,2)</f>
        <v>17868.19</v>
      </c>
      <c r="V9" s="42" t="n">
        <f aca="false">ROUND(AF9-L9,2)</f>
        <v>0</v>
      </c>
      <c r="W9" s="42" t="n">
        <f aca="false">ROUND(AG9-M9,2)</f>
        <v>0</v>
      </c>
      <c r="X9" s="42" t="n">
        <f aca="false">ROUND(AH9-N9,2)</f>
        <v>0</v>
      </c>
      <c r="Y9" s="42" t="n">
        <f aca="false">ROUND(AI9-O9,2)</f>
        <v>0</v>
      </c>
      <c r="Z9" s="56" t="n">
        <f aca="false">ROUND(P8*(1+N(Debts!$D$5)/12),2)</f>
        <v>622.53</v>
      </c>
      <c r="AA9" s="56" t="n">
        <f aca="false">ROUND(Q8*(1+N(Debts!$D$6)/12),2)</f>
        <v>6749.09</v>
      </c>
      <c r="AB9" s="56" t="n">
        <f aca="false">ROUND(R8*(1+N(Debts!$D$7)/12),2)</f>
        <v>11553.03</v>
      </c>
      <c r="AC9" s="56" t="n">
        <f aca="false">ROUND(S8*(1+N(Debts!$D$8)/12),2)</f>
        <v>3845.13</v>
      </c>
      <c r="AD9" s="56" t="n">
        <f aca="false">ROUND(T8*(1+N(Debts!$D$9)/12),2)</f>
        <v>0</v>
      </c>
      <c r="AE9" s="56" t="n">
        <f aca="false">ROUND(U8*(1+N(Debts!$D$10)/12),2)</f>
        <v>18078.19</v>
      </c>
      <c r="AF9" s="56" t="n">
        <f aca="false">ROUND(V8*(1+N(Debts!$D$11)/12),2)</f>
        <v>0</v>
      </c>
      <c r="AG9" s="56" t="n">
        <f aca="false">ROUND(W8*(1+N(Debts!$D$12)/12),2)</f>
        <v>0</v>
      </c>
      <c r="AH9" s="56" t="n">
        <f aca="false">ROUND(X8*(1+N(Debts!$D$13)/12),2)</f>
        <v>0</v>
      </c>
      <c r="AI9" s="56" t="n">
        <f aca="false">ROUND(Y8*(1+N(Debts!$D$14)/12),2)</f>
        <v>0</v>
      </c>
      <c r="AJ9" s="56" t="n">
        <f aca="false">MIN(Z9,MAX(0,N(Debts!$E$5)))</f>
        <v>35</v>
      </c>
      <c r="AK9" s="56" t="n">
        <f aca="false">MIN(AA9,MAX(0,N(Debts!$E$6)))</f>
        <v>170</v>
      </c>
      <c r="AL9" s="56" t="n">
        <f aca="false">MIN(AB9,MAX(0,N(Debts!$E$7)))</f>
        <v>310</v>
      </c>
      <c r="AM9" s="56" t="n">
        <f aca="false">MIN(AC9,MAX(0,N(Debts!$E$8)))</f>
        <v>145</v>
      </c>
      <c r="AN9" s="56" t="n">
        <f aca="false">MIN(AD9,MAX(0,N(Debts!$E$9)))</f>
        <v>0</v>
      </c>
      <c r="AO9" s="56" t="n">
        <f aca="false">MIN(AE9,MAX(0,N(Debts!$E$10)))</f>
        <v>210</v>
      </c>
      <c r="AP9" s="56" t="n">
        <f aca="false">MIN(AF9,MAX(0,N(Debts!$E$11)))</f>
        <v>0</v>
      </c>
      <c r="AQ9" s="56" t="n">
        <f aca="false">MIN(AG9,MAX(0,N(Debts!$E$12)))</f>
        <v>0</v>
      </c>
      <c r="AR9" s="56" t="n">
        <f aca="false">MIN(AH9,MAX(0,N(Debts!$E$13)))</f>
        <v>0</v>
      </c>
      <c r="AS9" s="56" t="n">
        <f aca="false">MIN(AI9,MAX(0,N(Debts!$E$14)))</f>
        <v>0</v>
      </c>
    </row>
    <row r="10" customFormat="false" ht="15" hidden="false" customHeight="false" outlineLevel="0" collapsed="false">
      <c r="A10" s="53" t="n">
        <v>6</v>
      </c>
      <c r="B10" s="54" t="n">
        <f aca="false">EDATE('Start Here'!$B$8,5)</f>
        <v>46478</v>
      </c>
      <c r="C10" s="42" t="n">
        <f aca="false">SUM(F10:O10)</f>
        <v>1220</v>
      </c>
      <c r="D10" s="42" t="n">
        <f aca="false">ROUND(SUM($Z10:$AI10)-SUM(P9:Y9),2)</f>
        <v>326.19</v>
      </c>
      <c r="E10" s="55" t="n">
        <f aca="false">SUM(P10:Y10)</f>
        <v>38734.16</v>
      </c>
      <c r="F10" s="42" t="n">
        <f aca="false">AJ10+MIN(Z10-AJ10,MAX(0,'Start Here'!$B$10-SUM($AJ10:$AS10)-SUMPRODUCT(($Z$3:$AI$3&lt;Z$3)*($Z10:$AI10-$AJ10:$AS10))))</f>
        <v>242.87</v>
      </c>
      <c r="G10" s="42" t="n">
        <f aca="false">AK10+MIN(AA10-AK10,MAX(0,'Start Here'!$B$10-SUM($AJ10:$AS10)-SUMPRODUCT(($Z$3:$AI$3&lt;AA$3)*($Z10:$AI10-$AJ10:$AS10))))</f>
        <v>170</v>
      </c>
      <c r="H10" s="42" t="n">
        <f aca="false">AL10+MIN(AB10-AL10,MAX(0,'Start Here'!$B$10-SUM($AJ10:$AS10)-SUMPRODUCT(($Z$3:$AI$3&lt;AB$3)*($Z10:$AI10-$AJ10:$AS10))))</f>
        <v>310</v>
      </c>
      <c r="I10" s="42" t="n">
        <f aca="false">AM10+MIN(AC10-AM10,MAX(0,'Start Here'!$B$10-SUM($AJ10:$AS10)-SUMPRODUCT(($Z$3:$AI$3&lt;AC$3)*($Z10:$AI10-$AJ10:$AS10))))</f>
        <v>287.13</v>
      </c>
      <c r="J10" s="42" t="n">
        <f aca="false">AN10+MIN(AD10-AN10,MAX(0,'Start Here'!$B$10-SUM($AJ10:$AS10)-SUMPRODUCT(($Z$3:$AI$3&lt;AD$3)*($Z10:$AI10-$AJ10:$AS10))))</f>
        <v>0</v>
      </c>
      <c r="K10" s="42" t="n">
        <f aca="false">AO10+MIN(AE10-AO10,MAX(0,'Start Here'!$B$10-SUM($AJ10:$AS10)-SUMPRODUCT(($Z$3:$AI$3&lt;AE$3)*($Z10:$AI10-$AJ10:$AS10))))</f>
        <v>210</v>
      </c>
      <c r="L10" s="42" t="n">
        <f aca="false">AP10+MIN(AF10-AP10,MAX(0,'Start Here'!$B$10-SUM($AJ10:$AS10)-SUMPRODUCT(($Z$3:$AI$3&lt;AF$3)*($Z10:$AI10-$AJ10:$AS10))))</f>
        <v>0</v>
      </c>
      <c r="M10" s="42" t="n">
        <f aca="false">AQ10+MIN(AG10-AQ10,MAX(0,'Start Here'!$B$10-SUM($AJ10:$AS10)-SUMPRODUCT(($Z$3:$AI$3&lt;AG$3)*($Z10:$AI10-$AJ10:$AS10))))</f>
        <v>0</v>
      </c>
      <c r="N10" s="42" t="n">
        <f aca="false">AR10+MIN(AH10-AR10,MAX(0,'Start Here'!$B$10-SUM($AJ10:$AS10)-SUMPRODUCT(($Z$3:$AI$3&lt;AH$3)*($Z10:$AI10-$AJ10:$AS10))))</f>
        <v>0</v>
      </c>
      <c r="O10" s="42" t="n">
        <f aca="false">AS10+MIN(AI10-AS10,MAX(0,'Start Here'!$B$10-SUM($AJ10:$AS10)-SUMPRODUCT(($Z$3:$AI$3&lt;AI$3)*($Z10:$AI10-$AJ10:$AS10))))</f>
        <v>0</v>
      </c>
      <c r="P10" s="42" t="n">
        <f aca="false">ROUND(Z10-F10,2)</f>
        <v>0</v>
      </c>
      <c r="Q10" s="42" t="n">
        <f aca="false">ROUND(AA10-G10,2)</f>
        <v>6532.39</v>
      </c>
      <c r="R10" s="42" t="n">
        <f aca="false">ROUND(AB10-H10,2)</f>
        <v>11007.05</v>
      </c>
      <c r="S10" s="42" t="n">
        <f aca="false">ROUND(AC10-I10,2)</f>
        <v>3454.63</v>
      </c>
      <c r="T10" s="42" t="n">
        <f aca="false">ROUND(AD10-J10,2)</f>
        <v>0</v>
      </c>
      <c r="U10" s="42" t="n">
        <f aca="false">ROUND(AE10-K10,2)</f>
        <v>17740.09</v>
      </c>
      <c r="V10" s="42" t="n">
        <f aca="false">ROUND(AF10-L10,2)</f>
        <v>0</v>
      </c>
      <c r="W10" s="42" t="n">
        <f aca="false">ROUND(AG10-M10,2)</f>
        <v>0</v>
      </c>
      <c r="X10" s="42" t="n">
        <f aca="false">ROUND(AH10-N10,2)</f>
        <v>0</v>
      </c>
      <c r="Y10" s="42" t="n">
        <f aca="false">ROUND(AI10-O10,2)</f>
        <v>0</v>
      </c>
      <c r="Z10" s="56" t="n">
        <f aca="false">ROUND(P9*(1+N(Debts!$D$5)/12),2)</f>
        <v>242.87</v>
      </c>
      <c r="AA10" s="56" t="n">
        <f aca="false">ROUND(Q9*(1+N(Debts!$D$6)/12),2)</f>
        <v>6702.39</v>
      </c>
      <c r="AB10" s="56" t="n">
        <f aca="false">ROUND(R9*(1+N(Debts!$D$7)/12),2)</f>
        <v>11317.05</v>
      </c>
      <c r="AC10" s="56" t="n">
        <f aca="false">ROUND(S9*(1+N(Debts!$D$8)/12),2)</f>
        <v>3741.76</v>
      </c>
      <c r="AD10" s="56" t="n">
        <f aca="false">ROUND(T9*(1+N(Debts!$D$9)/12),2)</f>
        <v>0</v>
      </c>
      <c r="AE10" s="56" t="n">
        <f aca="false">ROUND(U9*(1+N(Debts!$D$10)/12),2)</f>
        <v>17950.09</v>
      </c>
      <c r="AF10" s="56" t="n">
        <f aca="false">ROUND(V9*(1+N(Debts!$D$11)/12),2)</f>
        <v>0</v>
      </c>
      <c r="AG10" s="56" t="n">
        <f aca="false">ROUND(W9*(1+N(Debts!$D$12)/12),2)</f>
        <v>0</v>
      </c>
      <c r="AH10" s="56" t="n">
        <f aca="false">ROUND(X9*(1+N(Debts!$D$13)/12),2)</f>
        <v>0</v>
      </c>
      <c r="AI10" s="56" t="n">
        <f aca="false">ROUND(Y9*(1+N(Debts!$D$14)/12),2)</f>
        <v>0</v>
      </c>
      <c r="AJ10" s="56" t="n">
        <f aca="false">MIN(Z10,MAX(0,N(Debts!$E$5)))</f>
        <v>35</v>
      </c>
      <c r="AK10" s="56" t="n">
        <f aca="false">MIN(AA10,MAX(0,N(Debts!$E$6)))</f>
        <v>170</v>
      </c>
      <c r="AL10" s="56" t="n">
        <f aca="false">MIN(AB10,MAX(0,N(Debts!$E$7)))</f>
        <v>310</v>
      </c>
      <c r="AM10" s="56" t="n">
        <f aca="false">MIN(AC10,MAX(0,N(Debts!$E$8)))</f>
        <v>145</v>
      </c>
      <c r="AN10" s="56" t="n">
        <f aca="false">MIN(AD10,MAX(0,N(Debts!$E$9)))</f>
        <v>0</v>
      </c>
      <c r="AO10" s="56" t="n">
        <f aca="false">MIN(AE10,MAX(0,N(Debts!$E$10)))</f>
        <v>210</v>
      </c>
      <c r="AP10" s="56" t="n">
        <f aca="false">MIN(AF10,MAX(0,N(Debts!$E$11)))</f>
        <v>0</v>
      </c>
      <c r="AQ10" s="56" t="n">
        <f aca="false">MIN(AG10,MAX(0,N(Debts!$E$12)))</f>
        <v>0</v>
      </c>
      <c r="AR10" s="56" t="n">
        <f aca="false">MIN(AH10,MAX(0,N(Debts!$E$13)))</f>
        <v>0</v>
      </c>
      <c r="AS10" s="56" t="n">
        <f aca="false">MIN(AI10,MAX(0,N(Debts!$E$14)))</f>
        <v>0</v>
      </c>
    </row>
    <row r="11" customFormat="false" ht="15" hidden="false" customHeight="false" outlineLevel="0" collapsed="false">
      <c r="A11" s="53" t="n">
        <v>7</v>
      </c>
      <c r="B11" s="54" t="n">
        <f aca="false">EDATE('Start Here'!$B$8,6)</f>
        <v>46508</v>
      </c>
      <c r="C11" s="42" t="n">
        <f aca="false">SUM(F11:O11)</f>
        <v>1220</v>
      </c>
      <c r="D11" s="42" t="n">
        <f aca="false">ROUND(SUM($Z11:$AI11)-SUM(P10:Y10),2)</f>
        <v>315.06</v>
      </c>
      <c r="E11" s="55" t="n">
        <f aca="false">SUM(P11:Y11)</f>
        <v>37829.22</v>
      </c>
      <c r="F11" s="42" t="n">
        <f aca="false">AJ11+MIN(Z11-AJ11,MAX(0,'Start Here'!$B$10-SUM($AJ11:$AS11)-SUMPRODUCT(($Z$3:$AI$3&lt;Z$3)*($Z11:$AI11-$AJ11:$AS11))))</f>
        <v>0</v>
      </c>
      <c r="G11" s="42" t="n">
        <f aca="false">AK11+MIN(AA11-AK11,MAX(0,'Start Here'!$B$10-SUM($AJ11:$AS11)-SUMPRODUCT(($Z$3:$AI$3&lt;AA$3)*($Z11:$AI11-$AJ11:$AS11))))</f>
        <v>170</v>
      </c>
      <c r="H11" s="42" t="n">
        <f aca="false">AL11+MIN(AB11-AL11,MAX(0,'Start Here'!$B$10-SUM($AJ11:$AS11)-SUMPRODUCT(($Z$3:$AI$3&lt;AB$3)*($Z11:$AI11-$AJ11:$AS11))))</f>
        <v>310</v>
      </c>
      <c r="I11" s="42" t="n">
        <f aca="false">AM11+MIN(AC11-AM11,MAX(0,'Start Here'!$B$10-SUM($AJ11:$AS11)-SUMPRODUCT(($Z$3:$AI$3&lt;AC$3)*($Z11:$AI11-$AJ11:$AS11))))</f>
        <v>530</v>
      </c>
      <c r="J11" s="42" t="n">
        <f aca="false">AN11+MIN(AD11-AN11,MAX(0,'Start Here'!$B$10-SUM($AJ11:$AS11)-SUMPRODUCT(($Z$3:$AI$3&lt;AD$3)*($Z11:$AI11-$AJ11:$AS11))))</f>
        <v>0</v>
      </c>
      <c r="K11" s="42" t="n">
        <f aca="false">AO11+MIN(AE11-AO11,MAX(0,'Start Here'!$B$10-SUM($AJ11:$AS11)-SUMPRODUCT(($Z$3:$AI$3&lt;AE$3)*($Z11:$AI11-$AJ11:$AS11))))</f>
        <v>210</v>
      </c>
      <c r="L11" s="42" t="n">
        <f aca="false">AP11+MIN(AF11-AP11,MAX(0,'Start Here'!$B$10-SUM($AJ11:$AS11)-SUMPRODUCT(($Z$3:$AI$3&lt;AF$3)*($Z11:$AI11-$AJ11:$AS11))))</f>
        <v>0</v>
      </c>
      <c r="M11" s="42" t="n">
        <f aca="false">AQ11+MIN(AG11-AQ11,MAX(0,'Start Here'!$B$10-SUM($AJ11:$AS11)-SUMPRODUCT(($Z$3:$AI$3&lt;AG$3)*($Z11:$AI11-$AJ11:$AS11))))</f>
        <v>0</v>
      </c>
      <c r="N11" s="42" t="n">
        <f aca="false">AR11+MIN(AH11-AR11,MAX(0,'Start Here'!$B$10-SUM($AJ11:$AS11)-SUMPRODUCT(($Z$3:$AI$3&lt;AH$3)*($Z11:$AI11-$AJ11:$AS11))))</f>
        <v>0</v>
      </c>
      <c r="O11" s="42" t="n">
        <f aca="false">AS11+MIN(AI11-AS11,MAX(0,'Start Here'!$B$10-SUM($AJ11:$AS11)-SUMPRODUCT(($Z$3:$AI$3&lt;AI$3)*($Z11:$AI11-$AJ11:$AS11))))</f>
        <v>0</v>
      </c>
      <c r="P11" s="42" t="n">
        <f aca="false">ROUND(Z11-F11,2)</f>
        <v>0</v>
      </c>
      <c r="Q11" s="42" t="n">
        <f aca="false">ROUND(AA11-G11,2)</f>
        <v>6484.82</v>
      </c>
      <c r="R11" s="42" t="n">
        <f aca="false">ROUND(AB11-H11,2)</f>
        <v>10769.51</v>
      </c>
      <c r="S11" s="42" t="n">
        <f aca="false">ROUND(AC11-I11,2)</f>
        <v>2963.49</v>
      </c>
      <c r="T11" s="42" t="n">
        <f aca="false">ROUND(AD11-J11,2)</f>
        <v>0</v>
      </c>
      <c r="U11" s="42" t="n">
        <f aca="false">ROUND(AE11-K11,2)</f>
        <v>17611.4</v>
      </c>
      <c r="V11" s="42" t="n">
        <f aca="false">ROUND(AF11-L11,2)</f>
        <v>0</v>
      </c>
      <c r="W11" s="42" t="n">
        <f aca="false">ROUND(AG11-M11,2)</f>
        <v>0</v>
      </c>
      <c r="X11" s="42" t="n">
        <f aca="false">ROUND(AH11-N11,2)</f>
        <v>0</v>
      </c>
      <c r="Y11" s="42" t="n">
        <f aca="false">ROUND(AI11-O11,2)</f>
        <v>0</v>
      </c>
      <c r="Z11" s="56" t="n">
        <f aca="false">ROUND(P10*(1+N(Debts!$D$5)/12),2)</f>
        <v>0</v>
      </c>
      <c r="AA11" s="56" t="n">
        <f aca="false">ROUND(Q10*(1+N(Debts!$D$6)/12),2)</f>
        <v>6654.82</v>
      </c>
      <c r="AB11" s="56" t="n">
        <f aca="false">ROUND(R10*(1+N(Debts!$D$7)/12),2)</f>
        <v>11079.51</v>
      </c>
      <c r="AC11" s="56" t="n">
        <f aca="false">ROUND(S10*(1+N(Debts!$D$8)/12),2)</f>
        <v>3493.49</v>
      </c>
      <c r="AD11" s="56" t="n">
        <f aca="false">ROUND(T10*(1+N(Debts!$D$9)/12),2)</f>
        <v>0</v>
      </c>
      <c r="AE11" s="56" t="n">
        <f aca="false">ROUND(U10*(1+N(Debts!$D$10)/12),2)</f>
        <v>17821.4</v>
      </c>
      <c r="AF11" s="56" t="n">
        <f aca="false">ROUND(V10*(1+N(Debts!$D$11)/12),2)</f>
        <v>0</v>
      </c>
      <c r="AG11" s="56" t="n">
        <f aca="false">ROUND(W10*(1+N(Debts!$D$12)/12),2)</f>
        <v>0</v>
      </c>
      <c r="AH11" s="56" t="n">
        <f aca="false">ROUND(X10*(1+N(Debts!$D$13)/12),2)</f>
        <v>0</v>
      </c>
      <c r="AI11" s="56" t="n">
        <f aca="false">ROUND(Y10*(1+N(Debts!$D$14)/12),2)</f>
        <v>0</v>
      </c>
      <c r="AJ11" s="56" t="n">
        <f aca="false">MIN(Z11,MAX(0,N(Debts!$E$5)))</f>
        <v>0</v>
      </c>
      <c r="AK11" s="56" t="n">
        <f aca="false">MIN(AA11,MAX(0,N(Debts!$E$6)))</f>
        <v>170</v>
      </c>
      <c r="AL11" s="56" t="n">
        <f aca="false">MIN(AB11,MAX(0,N(Debts!$E$7)))</f>
        <v>310</v>
      </c>
      <c r="AM11" s="56" t="n">
        <f aca="false">MIN(AC11,MAX(0,N(Debts!$E$8)))</f>
        <v>145</v>
      </c>
      <c r="AN11" s="56" t="n">
        <f aca="false">MIN(AD11,MAX(0,N(Debts!$E$9)))</f>
        <v>0</v>
      </c>
      <c r="AO11" s="56" t="n">
        <f aca="false">MIN(AE11,MAX(0,N(Debts!$E$10)))</f>
        <v>210</v>
      </c>
      <c r="AP11" s="56" t="n">
        <f aca="false">MIN(AF11,MAX(0,N(Debts!$E$11)))</f>
        <v>0</v>
      </c>
      <c r="AQ11" s="56" t="n">
        <f aca="false">MIN(AG11,MAX(0,N(Debts!$E$12)))</f>
        <v>0</v>
      </c>
      <c r="AR11" s="56" t="n">
        <f aca="false">MIN(AH11,MAX(0,N(Debts!$E$13)))</f>
        <v>0</v>
      </c>
      <c r="AS11" s="56" t="n">
        <f aca="false">MIN(AI11,MAX(0,N(Debts!$E$14)))</f>
        <v>0</v>
      </c>
    </row>
    <row r="12" customFormat="false" ht="15" hidden="false" customHeight="false" outlineLevel="0" collapsed="false">
      <c r="A12" s="53" t="n">
        <v>8</v>
      </c>
      <c r="B12" s="54" t="n">
        <f aca="false">EDATE('Start Here'!$B$8,7)</f>
        <v>46539</v>
      </c>
      <c r="C12" s="42" t="n">
        <f aca="false">SUM(F12:O12)</f>
        <v>1220</v>
      </c>
      <c r="D12" s="42" t="n">
        <f aca="false">ROUND(SUM($Z12:$AI12)-SUM(P11:Y11),2)</f>
        <v>306.5</v>
      </c>
      <c r="E12" s="55" t="n">
        <f aca="false">SUM(P12:Y12)</f>
        <v>36915.72</v>
      </c>
      <c r="F12" s="42" t="n">
        <f aca="false">AJ12+MIN(Z12-AJ12,MAX(0,'Start Here'!$B$10-SUM($AJ12:$AS12)-SUMPRODUCT(($Z$3:$AI$3&lt;Z$3)*($Z12:$AI12-$AJ12:$AS12))))</f>
        <v>0</v>
      </c>
      <c r="G12" s="42" t="n">
        <f aca="false">AK12+MIN(AA12-AK12,MAX(0,'Start Here'!$B$10-SUM($AJ12:$AS12)-SUMPRODUCT(($Z$3:$AI$3&lt;AA$3)*($Z12:$AI12-$AJ12:$AS12))))</f>
        <v>170</v>
      </c>
      <c r="H12" s="42" t="n">
        <f aca="false">AL12+MIN(AB12-AL12,MAX(0,'Start Here'!$B$10-SUM($AJ12:$AS12)-SUMPRODUCT(($Z$3:$AI$3&lt;AB$3)*($Z12:$AI12-$AJ12:$AS12))))</f>
        <v>310</v>
      </c>
      <c r="I12" s="42" t="n">
        <f aca="false">AM12+MIN(AC12-AM12,MAX(0,'Start Here'!$B$10-SUM($AJ12:$AS12)-SUMPRODUCT(($Z$3:$AI$3&lt;AC$3)*($Z12:$AI12-$AJ12:$AS12))))</f>
        <v>530</v>
      </c>
      <c r="J12" s="42" t="n">
        <f aca="false">AN12+MIN(AD12-AN12,MAX(0,'Start Here'!$B$10-SUM($AJ12:$AS12)-SUMPRODUCT(($Z$3:$AI$3&lt;AD$3)*($Z12:$AI12-$AJ12:$AS12))))</f>
        <v>0</v>
      </c>
      <c r="K12" s="42" t="n">
        <f aca="false">AO12+MIN(AE12-AO12,MAX(0,'Start Here'!$B$10-SUM($AJ12:$AS12)-SUMPRODUCT(($Z$3:$AI$3&lt;AE$3)*($Z12:$AI12-$AJ12:$AS12))))</f>
        <v>210</v>
      </c>
      <c r="L12" s="42" t="n">
        <f aca="false">AP12+MIN(AF12-AP12,MAX(0,'Start Here'!$B$10-SUM($AJ12:$AS12)-SUMPRODUCT(($Z$3:$AI$3&lt;AF$3)*($Z12:$AI12-$AJ12:$AS12))))</f>
        <v>0</v>
      </c>
      <c r="M12" s="42" t="n">
        <f aca="false">AQ12+MIN(AG12-AQ12,MAX(0,'Start Here'!$B$10-SUM($AJ12:$AS12)-SUMPRODUCT(($Z$3:$AI$3&lt;AG$3)*($Z12:$AI12-$AJ12:$AS12))))</f>
        <v>0</v>
      </c>
      <c r="N12" s="42" t="n">
        <f aca="false">AR12+MIN(AH12-AR12,MAX(0,'Start Here'!$B$10-SUM($AJ12:$AS12)-SUMPRODUCT(($Z$3:$AI$3&lt;AH$3)*($Z12:$AI12-$AJ12:$AS12))))</f>
        <v>0</v>
      </c>
      <c r="O12" s="42" t="n">
        <f aca="false">AS12+MIN(AI12-AS12,MAX(0,'Start Here'!$B$10-SUM($AJ12:$AS12)-SUMPRODUCT(($Z$3:$AI$3&lt;AI$3)*($Z12:$AI12-$AJ12:$AS12))))</f>
        <v>0</v>
      </c>
      <c r="P12" s="42" t="n">
        <f aca="false">ROUND(Z12-F12,2)</f>
        <v>0</v>
      </c>
      <c r="Q12" s="42" t="n">
        <f aca="false">ROUND(AA12-G12,2)</f>
        <v>6436.36</v>
      </c>
      <c r="R12" s="42" t="n">
        <f aca="false">ROUND(AB12-H12,2)</f>
        <v>10530.41</v>
      </c>
      <c r="S12" s="42" t="n">
        <f aca="false">ROUND(AC12-I12,2)</f>
        <v>2466.83</v>
      </c>
      <c r="T12" s="42" t="n">
        <f aca="false">ROUND(AD12-J12,2)</f>
        <v>0</v>
      </c>
      <c r="U12" s="42" t="n">
        <f aca="false">ROUND(AE12-K12,2)</f>
        <v>17482.12</v>
      </c>
      <c r="V12" s="42" t="n">
        <f aca="false">ROUND(AF12-L12,2)</f>
        <v>0</v>
      </c>
      <c r="W12" s="42" t="n">
        <f aca="false">ROUND(AG12-M12,2)</f>
        <v>0</v>
      </c>
      <c r="X12" s="42" t="n">
        <f aca="false">ROUND(AH12-N12,2)</f>
        <v>0</v>
      </c>
      <c r="Y12" s="42" t="n">
        <f aca="false">ROUND(AI12-O12,2)</f>
        <v>0</v>
      </c>
      <c r="Z12" s="56" t="n">
        <f aca="false">ROUND(P11*(1+N(Debts!$D$5)/12),2)</f>
        <v>0</v>
      </c>
      <c r="AA12" s="56" t="n">
        <f aca="false">ROUND(Q11*(1+N(Debts!$D$6)/12),2)</f>
        <v>6606.36</v>
      </c>
      <c r="AB12" s="56" t="n">
        <f aca="false">ROUND(R11*(1+N(Debts!$D$7)/12),2)</f>
        <v>10840.41</v>
      </c>
      <c r="AC12" s="56" t="n">
        <f aca="false">ROUND(S11*(1+N(Debts!$D$8)/12),2)</f>
        <v>2996.83</v>
      </c>
      <c r="AD12" s="56" t="n">
        <f aca="false">ROUND(T11*(1+N(Debts!$D$9)/12),2)</f>
        <v>0</v>
      </c>
      <c r="AE12" s="56" t="n">
        <f aca="false">ROUND(U11*(1+N(Debts!$D$10)/12),2)</f>
        <v>17692.12</v>
      </c>
      <c r="AF12" s="56" t="n">
        <f aca="false">ROUND(V11*(1+N(Debts!$D$11)/12),2)</f>
        <v>0</v>
      </c>
      <c r="AG12" s="56" t="n">
        <f aca="false">ROUND(W11*(1+N(Debts!$D$12)/12),2)</f>
        <v>0</v>
      </c>
      <c r="AH12" s="56" t="n">
        <f aca="false">ROUND(X11*(1+N(Debts!$D$13)/12),2)</f>
        <v>0</v>
      </c>
      <c r="AI12" s="56" t="n">
        <f aca="false">ROUND(Y11*(1+N(Debts!$D$14)/12),2)</f>
        <v>0</v>
      </c>
      <c r="AJ12" s="56" t="n">
        <f aca="false">MIN(Z12,MAX(0,N(Debts!$E$5)))</f>
        <v>0</v>
      </c>
      <c r="AK12" s="56" t="n">
        <f aca="false">MIN(AA12,MAX(0,N(Debts!$E$6)))</f>
        <v>170</v>
      </c>
      <c r="AL12" s="56" t="n">
        <f aca="false">MIN(AB12,MAX(0,N(Debts!$E$7)))</f>
        <v>310</v>
      </c>
      <c r="AM12" s="56" t="n">
        <f aca="false">MIN(AC12,MAX(0,N(Debts!$E$8)))</f>
        <v>145</v>
      </c>
      <c r="AN12" s="56" t="n">
        <f aca="false">MIN(AD12,MAX(0,N(Debts!$E$9)))</f>
        <v>0</v>
      </c>
      <c r="AO12" s="56" t="n">
        <f aca="false">MIN(AE12,MAX(0,N(Debts!$E$10)))</f>
        <v>210</v>
      </c>
      <c r="AP12" s="56" t="n">
        <f aca="false">MIN(AF12,MAX(0,N(Debts!$E$11)))</f>
        <v>0</v>
      </c>
      <c r="AQ12" s="56" t="n">
        <f aca="false">MIN(AG12,MAX(0,N(Debts!$E$12)))</f>
        <v>0</v>
      </c>
      <c r="AR12" s="56" t="n">
        <f aca="false">MIN(AH12,MAX(0,N(Debts!$E$13)))</f>
        <v>0</v>
      </c>
      <c r="AS12" s="56" t="n">
        <f aca="false">MIN(AI12,MAX(0,N(Debts!$E$14)))</f>
        <v>0</v>
      </c>
    </row>
    <row r="13" customFormat="false" ht="15" hidden="false" customHeight="false" outlineLevel="0" collapsed="false">
      <c r="A13" s="53" t="n">
        <v>9</v>
      </c>
      <c r="B13" s="54" t="n">
        <f aca="false">EDATE('Start Here'!$B$8,8)</f>
        <v>46569</v>
      </c>
      <c r="C13" s="42" t="n">
        <f aca="false">SUM(F13:O13)</f>
        <v>1220</v>
      </c>
      <c r="D13" s="42" t="n">
        <f aca="false">ROUND(SUM($Z13:$AI13)-SUM(P12:Y12),2)</f>
        <v>297.84</v>
      </c>
      <c r="E13" s="55" t="n">
        <f aca="false">SUM(P13:Y13)</f>
        <v>35993.56</v>
      </c>
      <c r="F13" s="42" t="n">
        <f aca="false">AJ13+MIN(Z13-AJ13,MAX(0,'Start Here'!$B$10-SUM($AJ13:$AS13)-SUMPRODUCT(($Z$3:$AI$3&lt;Z$3)*($Z13:$AI13-$AJ13:$AS13))))</f>
        <v>0</v>
      </c>
      <c r="G13" s="42" t="n">
        <f aca="false">AK13+MIN(AA13-AK13,MAX(0,'Start Here'!$B$10-SUM($AJ13:$AS13)-SUMPRODUCT(($Z$3:$AI$3&lt;AA$3)*($Z13:$AI13-$AJ13:$AS13))))</f>
        <v>170</v>
      </c>
      <c r="H13" s="42" t="n">
        <f aca="false">AL13+MIN(AB13-AL13,MAX(0,'Start Here'!$B$10-SUM($AJ13:$AS13)-SUMPRODUCT(($Z$3:$AI$3&lt;AB$3)*($Z13:$AI13-$AJ13:$AS13))))</f>
        <v>310</v>
      </c>
      <c r="I13" s="42" t="n">
        <f aca="false">AM13+MIN(AC13-AM13,MAX(0,'Start Here'!$B$10-SUM($AJ13:$AS13)-SUMPRODUCT(($Z$3:$AI$3&lt;AC$3)*($Z13:$AI13-$AJ13:$AS13))))</f>
        <v>530</v>
      </c>
      <c r="J13" s="42" t="n">
        <f aca="false">AN13+MIN(AD13-AN13,MAX(0,'Start Here'!$B$10-SUM($AJ13:$AS13)-SUMPRODUCT(($Z$3:$AI$3&lt;AD$3)*($Z13:$AI13-$AJ13:$AS13))))</f>
        <v>0</v>
      </c>
      <c r="K13" s="42" t="n">
        <f aca="false">AO13+MIN(AE13-AO13,MAX(0,'Start Here'!$B$10-SUM($AJ13:$AS13)-SUMPRODUCT(($Z$3:$AI$3&lt;AE$3)*($Z13:$AI13-$AJ13:$AS13))))</f>
        <v>210</v>
      </c>
      <c r="L13" s="42" t="n">
        <f aca="false">AP13+MIN(AF13-AP13,MAX(0,'Start Here'!$B$10-SUM($AJ13:$AS13)-SUMPRODUCT(($Z$3:$AI$3&lt;AF$3)*($Z13:$AI13-$AJ13:$AS13))))</f>
        <v>0</v>
      </c>
      <c r="M13" s="42" t="n">
        <f aca="false">AQ13+MIN(AG13-AQ13,MAX(0,'Start Here'!$B$10-SUM($AJ13:$AS13)-SUMPRODUCT(($Z$3:$AI$3&lt;AG$3)*($Z13:$AI13-$AJ13:$AS13))))</f>
        <v>0</v>
      </c>
      <c r="N13" s="42" t="n">
        <f aca="false">AR13+MIN(AH13-AR13,MAX(0,'Start Here'!$B$10-SUM($AJ13:$AS13)-SUMPRODUCT(($Z$3:$AI$3&lt;AH$3)*($Z13:$AI13-$AJ13:$AS13))))</f>
        <v>0</v>
      </c>
      <c r="O13" s="42" t="n">
        <f aca="false">AS13+MIN(AI13-AS13,MAX(0,'Start Here'!$B$10-SUM($AJ13:$AS13)-SUMPRODUCT(($Z$3:$AI$3&lt;AI$3)*($Z13:$AI13-$AJ13:$AS13))))</f>
        <v>0</v>
      </c>
      <c r="P13" s="42" t="n">
        <f aca="false">ROUND(Z13-F13,2)</f>
        <v>0</v>
      </c>
      <c r="Q13" s="42" t="n">
        <f aca="false">ROUND(AA13-G13,2)</f>
        <v>6386.99</v>
      </c>
      <c r="R13" s="42" t="n">
        <f aca="false">ROUND(AB13-H13,2)</f>
        <v>10289.74</v>
      </c>
      <c r="S13" s="42" t="n">
        <f aca="false">ROUND(AC13-I13,2)</f>
        <v>1964.58</v>
      </c>
      <c r="T13" s="42" t="n">
        <f aca="false">ROUND(AD13-J13,2)</f>
        <v>0</v>
      </c>
      <c r="U13" s="42" t="n">
        <f aca="false">ROUND(AE13-K13,2)</f>
        <v>17352.25</v>
      </c>
      <c r="V13" s="42" t="n">
        <f aca="false">ROUND(AF13-L13,2)</f>
        <v>0</v>
      </c>
      <c r="W13" s="42" t="n">
        <f aca="false">ROUND(AG13-M13,2)</f>
        <v>0</v>
      </c>
      <c r="X13" s="42" t="n">
        <f aca="false">ROUND(AH13-N13,2)</f>
        <v>0</v>
      </c>
      <c r="Y13" s="42" t="n">
        <f aca="false">ROUND(AI13-O13,2)</f>
        <v>0</v>
      </c>
      <c r="Z13" s="56" t="n">
        <f aca="false">ROUND(P12*(1+N(Debts!$D$5)/12),2)</f>
        <v>0</v>
      </c>
      <c r="AA13" s="56" t="n">
        <f aca="false">ROUND(Q12*(1+N(Debts!$D$6)/12),2)</f>
        <v>6556.99</v>
      </c>
      <c r="AB13" s="56" t="n">
        <f aca="false">ROUND(R12*(1+N(Debts!$D$7)/12),2)</f>
        <v>10599.74</v>
      </c>
      <c r="AC13" s="56" t="n">
        <f aca="false">ROUND(S12*(1+N(Debts!$D$8)/12),2)</f>
        <v>2494.58</v>
      </c>
      <c r="AD13" s="56" t="n">
        <f aca="false">ROUND(T12*(1+N(Debts!$D$9)/12),2)</f>
        <v>0</v>
      </c>
      <c r="AE13" s="56" t="n">
        <f aca="false">ROUND(U12*(1+N(Debts!$D$10)/12),2)</f>
        <v>17562.25</v>
      </c>
      <c r="AF13" s="56" t="n">
        <f aca="false">ROUND(V12*(1+N(Debts!$D$11)/12),2)</f>
        <v>0</v>
      </c>
      <c r="AG13" s="56" t="n">
        <f aca="false">ROUND(W12*(1+N(Debts!$D$12)/12),2)</f>
        <v>0</v>
      </c>
      <c r="AH13" s="56" t="n">
        <f aca="false">ROUND(X12*(1+N(Debts!$D$13)/12),2)</f>
        <v>0</v>
      </c>
      <c r="AI13" s="56" t="n">
        <f aca="false">ROUND(Y12*(1+N(Debts!$D$14)/12),2)</f>
        <v>0</v>
      </c>
      <c r="AJ13" s="56" t="n">
        <f aca="false">MIN(Z13,MAX(0,N(Debts!$E$5)))</f>
        <v>0</v>
      </c>
      <c r="AK13" s="56" t="n">
        <f aca="false">MIN(AA13,MAX(0,N(Debts!$E$6)))</f>
        <v>170</v>
      </c>
      <c r="AL13" s="56" t="n">
        <f aca="false">MIN(AB13,MAX(0,N(Debts!$E$7)))</f>
        <v>310</v>
      </c>
      <c r="AM13" s="56" t="n">
        <f aca="false">MIN(AC13,MAX(0,N(Debts!$E$8)))</f>
        <v>145</v>
      </c>
      <c r="AN13" s="56" t="n">
        <f aca="false">MIN(AD13,MAX(0,N(Debts!$E$9)))</f>
        <v>0</v>
      </c>
      <c r="AO13" s="56" t="n">
        <f aca="false">MIN(AE13,MAX(0,N(Debts!$E$10)))</f>
        <v>210</v>
      </c>
      <c r="AP13" s="56" t="n">
        <f aca="false">MIN(AF13,MAX(0,N(Debts!$E$11)))</f>
        <v>0</v>
      </c>
      <c r="AQ13" s="56" t="n">
        <f aca="false">MIN(AG13,MAX(0,N(Debts!$E$12)))</f>
        <v>0</v>
      </c>
      <c r="AR13" s="56" t="n">
        <f aca="false">MIN(AH13,MAX(0,N(Debts!$E$13)))</f>
        <v>0</v>
      </c>
      <c r="AS13" s="56" t="n">
        <f aca="false">MIN(AI13,MAX(0,N(Debts!$E$14)))</f>
        <v>0</v>
      </c>
    </row>
    <row r="14" customFormat="false" ht="15" hidden="false" customHeight="false" outlineLevel="0" collapsed="false">
      <c r="A14" s="53" t="n">
        <v>10</v>
      </c>
      <c r="B14" s="54" t="n">
        <f aca="false">EDATE('Start Here'!$B$8,9)</f>
        <v>46600</v>
      </c>
      <c r="C14" s="42" t="n">
        <f aca="false">SUM(F14:O14)</f>
        <v>1220</v>
      </c>
      <c r="D14" s="42" t="n">
        <f aca="false">ROUND(SUM($Z14:$AI14)-SUM(P13:Y13),2)</f>
        <v>289.07</v>
      </c>
      <c r="E14" s="55" t="n">
        <f aca="false">SUM(P14:Y14)</f>
        <v>35062.63</v>
      </c>
      <c r="F14" s="42" t="n">
        <f aca="false">AJ14+MIN(Z14-AJ14,MAX(0,'Start Here'!$B$10-SUM($AJ14:$AS14)-SUMPRODUCT(($Z$3:$AI$3&lt;Z$3)*($Z14:$AI14-$AJ14:$AS14))))</f>
        <v>0</v>
      </c>
      <c r="G14" s="42" t="n">
        <f aca="false">AK14+MIN(AA14-AK14,MAX(0,'Start Here'!$B$10-SUM($AJ14:$AS14)-SUMPRODUCT(($Z$3:$AI$3&lt;AA$3)*($Z14:$AI14-$AJ14:$AS14))))</f>
        <v>170</v>
      </c>
      <c r="H14" s="42" t="n">
        <f aca="false">AL14+MIN(AB14-AL14,MAX(0,'Start Here'!$B$10-SUM($AJ14:$AS14)-SUMPRODUCT(($Z$3:$AI$3&lt;AB$3)*($Z14:$AI14-$AJ14:$AS14))))</f>
        <v>310</v>
      </c>
      <c r="I14" s="42" t="n">
        <f aca="false">AM14+MIN(AC14-AM14,MAX(0,'Start Here'!$B$10-SUM($AJ14:$AS14)-SUMPRODUCT(($Z$3:$AI$3&lt;AC$3)*($Z14:$AI14-$AJ14:$AS14))))</f>
        <v>530</v>
      </c>
      <c r="J14" s="42" t="n">
        <f aca="false">AN14+MIN(AD14-AN14,MAX(0,'Start Here'!$B$10-SUM($AJ14:$AS14)-SUMPRODUCT(($Z$3:$AI$3&lt;AD$3)*($Z14:$AI14-$AJ14:$AS14))))</f>
        <v>0</v>
      </c>
      <c r="K14" s="42" t="n">
        <f aca="false">AO14+MIN(AE14-AO14,MAX(0,'Start Here'!$B$10-SUM($AJ14:$AS14)-SUMPRODUCT(($Z$3:$AI$3&lt;AE$3)*($Z14:$AI14-$AJ14:$AS14))))</f>
        <v>210</v>
      </c>
      <c r="L14" s="42" t="n">
        <f aca="false">AP14+MIN(AF14-AP14,MAX(0,'Start Here'!$B$10-SUM($AJ14:$AS14)-SUMPRODUCT(($Z$3:$AI$3&lt;AF$3)*($Z14:$AI14-$AJ14:$AS14))))</f>
        <v>0</v>
      </c>
      <c r="M14" s="42" t="n">
        <f aca="false">AQ14+MIN(AG14-AQ14,MAX(0,'Start Here'!$B$10-SUM($AJ14:$AS14)-SUMPRODUCT(($Z$3:$AI$3&lt;AG$3)*($Z14:$AI14-$AJ14:$AS14))))</f>
        <v>0</v>
      </c>
      <c r="N14" s="42" t="n">
        <f aca="false">AR14+MIN(AH14-AR14,MAX(0,'Start Here'!$B$10-SUM($AJ14:$AS14)-SUMPRODUCT(($Z$3:$AI$3&lt;AH$3)*($Z14:$AI14-$AJ14:$AS14))))</f>
        <v>0</v>
      </c>
      <c r="O14" s="42" t="n">
        <f aca="false">AS14+MIN(AI14-AS14,MAX(0,'Start Here'!$B$10-SUM($AJ14:$AS14)-SUMPRODUCT(($Z$3:$AI$3&lt;AI$3)*($Z14:$AI14-$AJ14:$AS14))))</f>
        <v>0</v>
      </c>
      <c r="P14" s="42" t="n">
        <f aca="false">ROUND(Z14-F14,2)</f>
        <v>0</v>
      </c>
      <c r="Q14" s="42" t="n">
        <f aca="false">ROUND(AA14-G14,2)</f>
        <v>6336.69</v>
      </c>
      <c r="R14" s="42" t="n">
        <f aca="false">ROUND(AB14-H14,2)</f>
        <v>10047.48</v>
      </c>
      <c r="S14" s="42" t="n">
        <f aca="false">ROUND(AC14-I14,2)</f>
        <v>1456.68</v>
      </c>
      <c r="T14" s="42" t="n">
        <f aca="false">ROUND(AD14-J14,2)</f>
        <v>0</v>
      </c>
      <c r="U14" s="42" t="n">
        <f aca="false">ROUND(AE14-K14,2)</f>
        <v>17221.78</v>
      </c>
      <c r="V14" s="42" t="n">
        <f aca="false">ROUND(AF14-L14,2)</f>
        <v>0</v>
      </c>
      <c r="W14" s="42" t="n">
        <f aca="false">ROUND(AG14-M14,2)</f>
        <v>0</v>
      </c>
      <c r="X14" s="42" t="n">
        <f aca="false">ROUND(AH14-N14,2)</f>
        <v>0</v>
      </c>
      <c r="Y14" s="42" t="n">
        <f aca="false">ROUND(AI14-O14,2)</f>
        <v>0</v>
      </c>
      <c r="Z14" s="56" t="n">
        <f aca="false">ROUND(P13*(1+N(Debts!$D$5)/12),2)</f>
        <v>0</v>
      </c>
      <c r="AA14" s="56" t="n">
        <f aca="false">ROUND(Q13*(1+N(Debts!$D$6)/12),2)</f>
        <v>6506.69</v>
      </c>
      <c r="AB14" s="56" t="n">
        <f aca="false">ROUND(R13*(1+N(Debts!$D$7)/12),2)</f>
        <v>10357.48</v>
      </c>
      <c r="AC14" s="56" t="n">
        <f aca="false">ROUND(S13*(1+N(Debts!$D$8)/12),2)</f>
        <v>1986.68</v>
      </c>
      <c r="AD14" s="56" t="n">
        <f aca="false">ROUND(T13*(1+N(Debts!$D$9)/12),2)</f>
        <v>0</v>
      </c>
      <c r="AE14" s="56" t="n">
        <f aca="false">ROUND(U13*(1+N(Debts!$D$10)/12),2)</f>
        <v>17431.78</v>
      </c>
      <c r="AF14" s="56" t="n">
        <f aca="false">ROUND(V13*(1+N(Debts!$D$11)/12),2)</f>
        <v>0</v>
      </c>
      <c r="AG14" s="56" t="n">
        <f aca="false">ROUND(W13*(1+N(Debts!$D$12)/12),2)</f>
        <v>0</v>
      </c>
      <c r="AH14" s="56" t="n">
        <f aca="false">ROUND(X13*(1+N(Debts!$D$13)/12),2)</f>
        <v>0</v>
      </c>
      <c r="AI14" s="56" t="n">
        <f aca="false">ROUND(Y13*(1+N(Debts!$D$14)/12),2)</f>
        <v>0</v>
      </c>
      <c r="AJ14" s="56" t="n">
        <f aca="false">MIN(Z14,MAX(0,N(Debts!$E$5)))</f>
        <v>0</v>
      </c>
      <c r="AK14" s="56" t="n">
        <f aca="false">MIN(AA14,MAX(0,N(Debts!$E$6)))</f>
        <v>170</v>
      </c>
      <c r="AL14" s="56" t="n">
        <f aca="false">MIN(AB14,MAX(0,N(Debts!$E$7)))</f>
        <v>310</v>
      </c>
      <c r="AM14" s="56" t="n">
        <f aca="false">MIN(AC14,MAX(0,N(Debts!$E$8)))</f>
        <v>145</v>
      </c>
      <c r="AN14" s="56" t="n">
        <f aca="false">MIN(AD14,MAX(0,N(Debts!$E$9)))</f>
        <v>0</v>
      </c>
      <c r="AO14" s="56" t="n">
        <f aca="false">MIN(AE14,MAX(0,N(Debts!$E$10)))</f>
        <v>210</v>
      </c>
      <c r="AP14" s="56" t="n">
        <f aca="false">MIN(AF14,MAX(0,N(Debts!$E$11)))</f>
        <v>0</v>
      </c>
      <c r="AQ14" s="56" t="n">
        <f aca="false">MIN(AG14,MAX(0,N(Debts!$E$12)))</f>
        <v>0</v>
      </c>
      <c r="AR14" s="56" t="n">
        <f aca="false">MIN(AH14,MAX(0,N(Debts!$E$13)))</f>
        <v>0</v>
      </c>
      <c r="AS14" s="56" t="n">
        <f aca="false">MIN(AI14,MAX(0,N(Debts!$E$14)))</f>
        <v>0</v>
      </c>
    </row>
    <row r="15" customFormat="false" ht="15" hidden="false" customHeight="false" outlineLevel="0" collapsed="false">
      <c r="A15" s="53" t="n">
        <v>11</v>
      </c>
      <c r="B15" s="54" t="n">
        <f aca="false">EDATE('Start Here'!$B$8,10)</f>
        <v>46631</v>
      </c>
      <c r="C15" s="42" t="n">
        <f aca="false">SUM(F15:O15)</f>
        <v>1220</v>
      </c>
      <c r="D15" s="42" t="n">
        <f aca="false">ROUND(SUM($Z15:$AI15)-SUM(P14:Y14),2)</f>
        <v>280.23</v>
      </c>
      <c r="E15" s="55" t="n">
        <f aca="false">SUM(P15:Y15)</f>
        <v>34122.86</v>
      </c>
      <c r="F15" s="42" t="n">
        <f aca="false">AJ15+MIN(Z15-AJ15,MAX(0,'Start Here'!$B$10-SUM($AJ15:$AS15)-SUMPRODUCT(($Z$3:$AI$3&lt;Z$3)*($Z15:$AI15-$AJ15:$AS15))))</f>
        <v>0</v>
      </c>
      <c r="G15" s="42" t="n">
        <f aca="false">AK15+MIN(AA15-AK15,MAX(0,'Start Here'!$B$10-SUM($AJ15:$AS15)-SUMPRODUCT(($Z$3:$AI$3&lt;AA$3)*($Z15:$AI15-$AJ15:$AS15))))</f>
        <v>170</v>
      </c>
      <c r="H15" s="42" t="n">
        <f aca="false">AL15+MIN(AB15-AL15,MAX(0,'Start Here'!$B$10-SUM($AJ15:$AS15)-SUMPRODUCT(($Z$3:$AI$3&lt;AB$3)*($Z15:$AI15-$AJ15:$AS15))))</f>
        <v>310</v>
      </c>
      <c r="I15" s="42" t="n">
        <f aca="false">AM15+MIN(AC15-AM15,MAX(0,'Start Here'!$B$10-SUM($AJ15:$AS15)-SUMPRODUCT(($Z$3:$AI$3&lt;AC$3)*($Z15:$AI15-$AJ15:$AS15))))</f>
        <v>530</v>
      </c>
      <c r="J15" s="42" t="n">
        <f aca="false">AN15+MIN(AD15-AN15,MAX(0,'Start Here'!$B$10-SUM($AJ15:$AS15)-SUMPRODUCT(($Z$3:$AI$3&lt;AD$3)*($Z15:$AI15-$AJ15:$AS15))))</f>
        <v>0</v>
      </c>
      <c r="K15" s="42" t="n">
        <f aca="false">AO15+MIN(AE15-AO15,MAX(0,'Start Here'!$B$10-SUM($AJ15:$AS15)-SUMPRODUCT(($Z$3:$AI$3&lt;AE$3)*($Z15:$AI15-$AJ15:$AS15))))</f>
        <v>210</v>
      </c>
      <c r="L15" s="42" t="n">
        <f aca="false">AP15+MIN(AF15-AP15,MAX(0,'Start Here'!$B$10-SUM($AJ15:$AS15)-SUMPRODUCT(($Z$3:$AI$3&lt;AF$3)*($Z15:$AI15-$AJ15:$AS15))))</f>
        <v>0</v>
      </c>
      <c r="M15" s="42" t="n">
        <f aca="false">AQ15+MIN(AG15-AQ15,MAX(0,'Start Here'!$B$10-SUM($AJ15:$AS15)-SUMPRODUCT(($Z$3:$AI$3&lt;AG$3)*($Z15:$AI15-$AJ15:$AS15))))</f>
        <v>0</v>
      </c>
      <c r="N15" s="42" t="n">
        <f aca="false">AR15+MIN(AH15-AR15,MAX(0,'Start Here'!$B$10-SUM($AJ15:$AS15)-SUMPRODUCT(($Z$3:$AI$3&lt;AH$3)*($Z15:$AI15-$AJ15:$AS15))))</f>
        <v>0</v>
      </c>
      <c r="O15" s="42" t="n">
        <f aca="false">AS15+MIN(AI15-AS15,MAX(0,'Start Here'!$B$10-SUM($AJ15:$AS15)-SUMPRODUCT(($Z$3:$AI$3&lt;AI$3)*($Z15:$AI15-$AJ15:$AS15))))</f>
        <v>0</v>
      </c>
      <c r="P15" s="42" t="n">
        <f aca="false">ROUND(Z15-F15,2)</f>
        <v>0</v>
      </c>
      <c r="Q15" s="42" t="n">
        <f aca="false">ROUND(AA15-G15,2)</f>
        <v>6285.45</v>
      </c>
      <c r="R15" s="42" t="n">
        <f aca="false">ROUND(AB15-H15,2)</f>
        <v>9803.63</v>
      </c>
      <c r="S15" s="42" t="n">
        <f aca="false">ROUND(AC15-I15,2)</f>
        <v>943.07</v>
      </c>
      <c r="T15" s="42" t="n">
        <f aca="false">ROUND(AD15-J15,2)</f>
        <v>0</v>
      </c>
      <c r="U15" s="42" t="n">
        <f aca="false">ROUND(AE15-K15,2)</f>
        <v>17090.71</v>
      </c>
      <c r="V15" s="42" t="n">
        <f aca="false">ROUND(AF15-L15,2)</f>
        <v>0</v>
      </c>
      <c r="W15" s="42" t="n">
        <f aca="false">ROUND(AG15-M15,2)</f>
        <v>0</v>
      </c>
      <c r="X15" s="42" t="n">
        <f aca="false">ROUND(AH15-N15,2)</f>
        <v>0</v>
      </c>
      <c r="Y15" s="42" t="n">
        <f aca="false">ROUND(AI15-O15,2)</f>
        <v>0</v>
      </c>
      <c r="Z15" s="56" t="n">
        <f aca="false">ROUND(P14*(1+N(Debts!$D$5)/12),2)</f>
        <v>0</v>
      </c>
      <c r="AA15" s="56" t="n">
        <f aca="false">ROUND(Q14*(1+N(Debts!$D$6)/12),2)</f>
        <v>6455.45</v>
      </c>
      <c r="AB15" s="56" t="n">
        <f aca="false">ROUND(R14*(1+N(Debts!$D$7)/12),2)</f>
        <v>10113.63</v>
      </c>
      <c r="AC15" s="56" t="n">
        <f aca="false">ROUND(S14*(1+N(Debts!$D$8)/12),2)</f>
        <v>1473.07</v>
      </c>
      <c r="AD15" s="56" t="n">
        <f aca="false">ROUND(T14*(1+N(Debts!$D$9)/12),2)</f>
        <v>0</v>
      </c>
      <c r="AE15" s="56" t="n">
        <f aca="false">ROUND(U14*(1+N(Debts!$D$10)/12),2)</f>
        <v>17300.71</v>
      </c>
      <c r="AF15" s="56" t="n">
        <f aca="false">ROUND(V14*(1+N(Debts!$D$11)/12),2)</f>
        <v>0</v>
      </c>
      <c r="AG15" s="56" t="n">
        <f aca="false">ROUND(W14*(1+N(Debts!$D$12)/12),2)</f>
        <v>0</v>
      </c>
      <c r="AH15" s="56" t="n">
        <f aca="false">ROUND(X14*(1+N(Debts!$D$13)/12),2)</f>
        <v>0</v>
      </c>
      <c r="AI15" s="56" t="n">
        <f aca="false">ROUND(Y14*(1+N(Debts!$D$14)/12),2)</f>
        <v>0</v>
      </c>
      <c r="AJ15" s="56" t="n">
        <f aca="false">MIN(Z15,MAX(0,N(Debts!$E$5)))</f>
        <v>0</v>
      </c>
      <c r="AK15" s="56" t="n">
        <f aca="false">MIN(AA15,MAX(0,N(Debts!$E$6)))</f>
        <v>170</v>
      </c>
      <c r="AL15" s="56" t="n">
        <f aca="false">MIN(AB15,MAX(0,N(Debts!$E$7)))</f>
        <v>310</v>
      </c>
      <c r="AM15" s="56" t="n">
        <f aca="false">MIN(AC15,MAX(0,N(Debts!$E$8)))</f>
        <v>145</v>
      </c>
      <c r="AN15" s="56" t="n">
        <f aca="false">MIN(AD15,MAX(0,N(Debts!$E$9)))</f>
        <v>0</v>
      </c>
      <c r="AO15" s="56" t="n">
        <f aca="false">MIN(AE15,MAX(0,N(Debts!$E$10)))</f>
        <v>210</v>
      </c>
      <c r="AP15" s="56" t="n">
        <f aca="false">MIN(AF15,MAX(0,N(Debts!$E$11)))</f>
        <v>0</v>
      </c>
      <c r="AQ15" s="56" t="n">
        <f aca="false">MIN(AG15,MAX(0,N(Debts!$E$12)))</f>
        <v>0</v>
      </c>
      <c r="AR15" s="56" t="n">
        <f aca="false">MIN(AH15,MAX(0,N(Debts!$E$13)))</f>
        <v>0</v>
      </c>
      <c r="AS15" s="56" t="n">
        <f aca="false">MIN(AI15,MAX(0,N(Debts!$E$14)))</f>
        <v>0</v>
      </c>
    </row>
    <row r="16" customFormat="false" ht="15" hidden="false" customHeight="false" outlineLevel="0" collapsed="false">
      <c r="A16" s="53" t="n">
        <v>12</v>
      </c>
      <c r="B16" s="54" t="n">
        <f aca="false">EDATE('Start Here'!$B$8,11)</f>
        <v>46661</v>
      </c>
      <c r="C16" s="42" t="n">
        <f aca="false">SUM(F16:O16)</f>
        <v>1220</v>
      </c>
      <c r="D16" s="42" t="n">
        <f aca="false">ROUND(SUM($Z16:$AI16)-SUM(P15:Y15),2)</f>
        <v>271.28</v>
      </c>
      <c r="E16" s="55" t="n">
        <f aca="false">SUM(P16:Y16)</f>
        <v>33174.14</v>
      </c>
      <c r="F16" s="42" t="n">
        <f aca="false">AJ16+MIN(Z16-AJ16,MAX(0,'Start Here'!$B$10-SUM($AJ16:$AS16)-SUMPRODUCT(($Z$3:$AI$3&lt;Z$3)*($Z16:$AI16-$AJ16:$AS16))))</f>
        <v>0</v>
      </c>
      <c r="G16" s="42" t="n">
        <f aca="false">AK16+MIN(AA16-AK16,MAX(0,'Start Here'!$B$10-SUM($AJ16:$AS16)-SUMPRODUCT(($Z$3:$AI$3&lt;AA$3)*($Z16:$AI16-$AJ16:$AS16))))</f>
        <v>170</v>
      </c>
      <c r="H16" s="42" t="n">
        <f aca="false">AL16+MIN(AB16-AL16,MAX(0,'Start Here'!$B$10-SUM($AJ16:$AS16)-SUMPRODUCT(($Z$3:$AI$3&lt;AB$3)*($Z16:$AI16-$AJ16:$AS16))))</f>
        <v>310</v>
      </c>
      <c r="I16" s="42" t="n">
        <f aca="false">AM16+MIN(AC16-AM16,MAX(0,'Start Here'!$B$10-SUM($AJ16:$AS16)-SUMPRODUCT(($Z$3:$AI$3&lt;AC$3)*($Z16:$AI16-$AJ16:$AS16))))</f>
        <v>530</v>
      </c>
      <c r="J16" s="42" t="n">
        <f aca="false">AN16+MIN(AD16-AN16,MAX(0,'Start Here'!$B$10-SUM($AJ16:$AS16)-SUMPRODUCT(($Z$3:$AI$3&lt;AD$3)*($Z16:$AI16-$AJ16:$AS16))))</f>
        <v>0</v>
      </c>
      <c r="K16" s="42" t="n">
        <f aca="false">AO16+MIN(AE16-AO16,MAX(0,'Start Here'!$B$10-SUM($AJ16:$AS16)-SUMPRODUCT(($Z$3:$AI$3&lt;AE$3)*($Z16:$AI16-$AJ16:$AS16))))</f>
        <v>210</v>
      </c>
      <c r="L16" s="42" t="n">
        <f aca="false">AP16+MIN(AF16-AP16,MAX(0,'Start Here'!$B$10-SUM($AJ16:$AS16)-SUMPRODUCT(($Z$3:$AI$3&lt;AF$3)*($Z16:$AI16-$AJ16:$AS16))))</f>
        <v>0</v>
      </c>
      <c r="M16" s="42" t="n">
        <f aca="false">AQ16+MIN(AG16-AQ16,MAX(0,'Start Here'!$B$10-SUM($AJ16:$AS16)-SUMPRODUCT(($Z$3:$AI$3&lt;AG$3)*($Z16:$AI16-$AJ16:$AS16))))</f>
        <v>0</v>
      </c>
      <c r="N16" s="42" t="n">
        <f aca="false">AR16+MIN(AH16-AR16,MAX(0,'Start Here'!$B$10-SUM($AJ16:$AS16)-SUMPRODUCT(($Z$3:$AI$3&lt;AH$3)*($Z16:$AI16-$AJ16:$AS16))))</f>
        <v>0</v>
      </c>
      <c r="O16" s="42" t="n">
        <f aca="false">AS16+MIN(AI16-AS16,MAX(0,'Start Here'!$B$10-SUM($AJ16:$AS16)-SUMPRODUCT(($Z$3:$AI$3&lt;AI$3)*($Z16:$AI16-$AJ16:$AS16))))</f>
        <v>0</v>
      </c>
      <c r="P16" s="42" t="n">
        <f aca="false">ROUND(Z16-F16,2)</f>
        <v>0</v>
      </c>
      <c r="Q16" s="42" t="n">
        <f aca="false">ROUND(AA16-G16,2)</f>
        <v>6233.25</v>
      </c>
      <c r="R16" s="42" t="n">
        <f aca="false">ROUND(AB16-H16,2)</f>
        <v>9558.17</v>
      </c>
      <c r="S16" s="42" t="n">
        <f aca="false">ROUND(AC16-I16,2)</f>
        <v>423.68</v>
      </c>
      <c r="T16" s="42" t="n">
        <f aca="false">ROUND(AD16-J16,2)</f>
        <v>0</v>
      </c>
      <c r="U16" s="42" t="n">
        <f aca="false">ROUND(AE16-K16,2)</f>
        <v>16959.04</v>
      </c>
      <c r="V16" s="42" t="n">
        <f aca="false">ROUND(AF16-L16,2)</f>
        <v>0</v>
      </c>
      <c r="W16" s="42" t="n">
        <f aca="false">ROUND(AG16-M16,2)</f>
        <v>0</v>
      </c>
      <c r="X16" s="42" t="n">
        <f aca="false">ROUND(AH16-N16,2)</f>
        <v>0</v>
      </c>
      <c r="Y16" s="42" t="n">
        <f aca="false">ROUND(AI16-O16,2)</f>
        <v>0</v>
      </c>
      <c r="Z16" s="56" t="n">
        <f aca="false">ROUND(P15*(1+N(Debts!$D$5)/12),2)</f>
        <v>0</v>
      </c>
      <c r="AA16" s="56" t="n">
        <f aca="false">ROUND(Q15*(1+N(Debts!$D$6)/12),2)</f>
        <v>6403.25</v>
      </c>
      <c r="AB16" s="56" t="n">
        <f aca="false">ROUND(R15*(1+N(Debts!$D$7)/12),2)</f>
        <v>9868.17</v>
      </c>
      <c r="AC16" s="56" t="n">
        <f aca="false">ROUND(S15*(1+N(Debts!$D$8)/12),2)</f>
        <v>953.68</v>
      </c>
      <c r="AD16" s="56" t="n">
        <f aca="false">ROUND(T15*(1+N(Debts!$D$9)/12),2)</f>
        <v>0</v>
      </c>
      <c r="AE16" s="56" t="n">
        <f aca="false">ROUND(U15*(1+N(Debts!$D$10)/12),2)</f>
        <v>17169.04</v>
      </c>
      <c r="AF16" s="56" t="n">
        <f aca="false">ROUND(V15*(1+N(Debts!$D$11)/12),2)</f>
        <v>0</v>
      </c>
      <c r="AG16" s="56" t="n">
        <f aca="false">ROUND(W15*(1+N(Debts!$D$12)/12),2)</f>
        <v>0</v>
      </c>
      <c r="AH16" s="56" t="n">
        <f aca="false">ROUND(X15*(1+N(Debts!$D$13)/12),2)</f>
        <v>0</v>
      </c>
      <c r="AI16" s="56" t="n">
        <f aca="false">ROUND(Y15*(1+N(Debts!$D$14)/12),2)</f>
        <v>0</v>
      </c>
      <c r="AJ16" s="56" t="n">
        <f aca="false">MIN(Z16,MAX(0,N(Debts!$E$5)))</f>
        <v>0</v>
      </c>
      <c r="AK16" s="56" t="n">
        <f aca="false">MIN(AA16,MAX(0,N(Debts!$E$6)))</f>
        <v>170</v>
      </c>
      <c r="AL16" s="56" t="n">
        <f aca="false">MIN(AB16,MAX(0,N(Debts!$E$7)))</f>
        <v>310</v>
      </c>
      <c r="AM16" s="56" t="n">
        <f aca="false">MIN(AC16,MAX(0,N(Debts!$E$8)))</f>
        <v>145</v>
      </c>
      <c r="AN16" s="56" t="n">
        <f aca="false">MIN(AD16,MAX(0,N(Debts!$E$9)))</f>
        <v>0</v>
      </c>
      <c r="AO16" s="56" t="n">
        <f aca="false">MIN(AE16,MAX(0,N(Debts!$E$10)))</f>
        <v>210</v>
      </c>
      <c r="AP16" s="56" t="n">
        <f aca="false">MIN(AF16,MAX(0,N(Debts!$E$11)))</f>
        <v>0</v>
      </c>
      <c r="AQ16" s="56" t="n">
        <f aca="false">MIN(AG16,MAX(0,N(Debts!$E$12)))</f>
        <v>0</v>
      </c>
      <c r="AR16" s="56" t="n">
        <f aca="false">MIN(AH16,MAX(0,N(Debts!$E$13)))</f>
        <v>0</v>
      </c>
      <c r="AS16" s="56" t="n">
        <f aca="false">MIN(AI16,MAX(0,N(Debts!$E$14)))</f>
        <v>0</v>
      </c>
    </row>
    <row r="17" customFormat="false" ht="15" hidden="false" customHeight="false" outlineLevel="0" collapsed="false">
      <c r="A17" s="53" t="n">
        <v>13</v>
      </c>
      <c r="B17" s="54" t="n">
        <f aca="false">EDATE('Start Here'!$B$8,12)</f>
        <v>46692</v>
      </c>
      <c r="C17" s="42" t="n">
        <f aca="false">SUM(F17:O17)</f>
        <v>1220</v>
      </c>
      <c r="D17" s="42" t="n">
        <f aca="false">ROUND(SUM($Z17:$AI17)-SUM(P16:Y16),2)</f>
        <v>262.24</v>
      </c>
      <c r="E17" s="55" t="n">
        <f aca="false">SUM(P17:Y17)</f>
        <v>32216.38</v>
      </c>
      <c r="F17" s="42" t="n">
        <f aca="false">AJ17+MIN(Z17-AJ17,MAX(0,'Start Here'!$B$10-SUM($AJ17:$AS17)-SUMPRODUCT(($Z$3:$AI$3&lt;Z$3)*($Z17:$AI17-$AJ17:$AS17))))</f>
        <v>0</v>
      </c>
      <c r="G17" s="42" t="n">
        <f aca="false">AK17+MIN(AA17-AK17,MAX(0,'Start Here'!$B$10-SUM($AJ17:$AS17)-SUMPRODUCT(($Z$3:$AI$3&lt;AA$3)*($Z17:$AI17-$AJ17:$AS17))))</f>
        <v>271.55</v>
      </c>
      <c r="H17" s="42" t="n">
        <f aca="false">AL17+MIN(AB17-AL17,MAX(0,'Start Here'!$B$10-SUM($AJ17:$AS17)-SUMPRODUCT(($Z$3:$AI$3&lt;AB$3)*($Z17:$AI17-$AJ17:$AS17))))</f>
        <v>310</v>
      </c>
      <c r="I17" s="42" t="n">
        <f aca="false">AM17+MIN(AC17-AM17,MAX(0,'Start Here'!$B$10-SUM($AJ17:$AS17)-SUMPRODUCT(($Z$3:$AI$3&lt;AC$3)*($Z17:$AI17-$AJ17:$AS17))))</f>
        <v>428.45</v>
      </c>
      <c r="J17" s="42" t="n">
        <f aca="false">AN17+MIN(AD17-AN17,MAX(0,'Start Here'!$B$10-SUM($AJ17:$AS17)-SUMPRODUCT(($Z$3:$AI$3&lt;AD$3)*($Z17:$AI17-$AJ17:$AS17))))</f>
        <v>0</v>
      </c>
      <c r="K17" s="42" t="n">
        <f aca="false">AO17+MIN(AE17-AO17,MAX(0,'Start Here'!$B$10-SUM($AJ17:$AS17)-SUMPRODUCT(($Z$3:$AI$3&lt;AE$3)*($Z17:$AI17-$AJ17:$AS17))))</f>
        <v>210</v>
      </c>
      <c r="L17" s="42" t="n">
        <f aca="false">AP17+MIN(AF17-AP17,MAX(0,'Start Here'!$B$10-SUM($AJ17:$AS17)-SUMPRODUCT(($Z$3:$AI$3&lt;AF$3)*($Z17:$AI17-$AJ17:$AS17))))</f>
        <v>0</v>
      </c>
      <c r="M17" s="42" t="n">
        <f aca="false">AQ17+MIN(AG17-AQ17,MAX(0,'Start Here'!$B$10-SUM($AJ17:$AS17)-SUMPRODUCT(($Z$3:$AI$3&lt;AG$3)*($Z17:$AI17-$AJ17:$AS17))))</f>
        <v>0</v>
      </c>
      <c r="N17" s="42" t="n">
        <f aca="false">AR17+MIN(AH17-AR17,MAX(0,'Start Here'!$B$10-SUM($AJ17:$AS17)-SUMPRODUCT(($Z$3:$AI$3&lt;AH$3)*($Z17:$AI17-$AJ17:$AS17))))</f>
        <v>0</v>
      </c>
      <c r="O17" s="42" t="n">
        <f aca="false">AS17+MIN(AI17-AS17,MAX(0,'Start Here'!$B$10-SUM($AJ17:$AS17)-SUMPRODUCT(($Z$3:$AI$3&lt;AI$3)*($Z17:$AI17-$AJ17:$AS17))))</f>
        <v>0</v>
      </c>
      <c r="P17" s="42" t="n">
        <f aca="false">ROUND(Z17-F17,2)</f>
        <v>0</v>
      </c>
      <c r="Q17" s="42" t="n">
        <f aca="false">ROUND(AA17-G17,2)</f>
        <v>6078.52</v>
      </c>
      <c r="R17" s="42" t="n">
        <f aca="false">ROUND(AB17-H17,2)</f>
        <v>9311.09</v>
      </c>
      <c r="S17" s="42" t="n">
        <f aca="false">ROUND(AC17-I17,2)</f>
        <v>0</v>
      </c>
      <c r="T17" s="42" t="n">
        <f aca="false">ROUND(AD17-J17,2)</f>
        <v>0</v>
      </c>
      <c r="U17" s="42" t="n">
        <f aca="false">ROUND(AE17-K17,2)</f>
        <v>16826.77</v>
      </c>
      <c r="V17" s="42" t="n">
        <f aca="false">ROUND(AF17-L17,2)</f>
        <v>0</v>
      </c>
      <c r="W17" s="42" t="n">
        <f aca="false">ROUND(AG17-M17,2)</f>
        <v>0</v>
      </c>
      <c r="X17" s="42" t="n">
        <f aca="false">ROUND(AH17-N17,2)</f>
        <v>0</v>
      </c>
      <c r="Y17" s="42" t="n">
        <f aca="false">ROUND(AI17-O17,2)</f>
        <v>0</v>
      </c>
      <c r="Z17" s="56" t="n">
        <f aca="false">ROUND(P16*(1+N(Debts!$D$5)/12),2)</f>
        <v>0</v>
      </c>
      <c r="AA17" s="56" t="n">
        <f aca="false">ROUND(Q16*(1+N(Debts!$D$6)/12),2)</f>
        <v>6350.07</v>
      </c>
      <c r="AB17" s="56" t="n">
        <f aca="false">ROUND(R16*(1+N(Debts!$D$7)/12),2)</f>
        <v>9621.09</v>
      </c>
      <c r="AC17" s="56" t="n">
        <f aca="false">ROUND(S16*(1+N(Debts!$D$8)/12),2)</f>
        <v>428.45</v>
      </c>
      <c r="AD17" s="56" t="n">
        <f aca="false">ROUND(T16*(1+N(Debts!$D$9)/12),2)</f>
        <v>0</v>
      </c>
      <c r="AE17" s="56" t="n">
        <f aca="false">ROUND(U16*(1+N(Debts!$D$10)/12),2)</f>
        <v>17036.77</v>
      </c>
      <c r="AF17" s="56" t="n">
        <f aca="false">ROUND(V16*(1+N(Debts!$D$11)/12),2)</f>
        <v>0</v>
      </c>
      <c r="AG17" s="56" t="n">
        <f aca="false">ROUND(W16*(1+N(Debts!$D$12)/12),2)</f>
        <v>0</v>
      </c>
      <c r="AH17" s="56" t="n">
        <f aca="false">ROUND(X16*(1+N(Debts!$D$13)/12),2)</f>
        <v>0</v>
      </c>
      <c r="AI17" s="56" t="n">
        <f aca="false">ROUND(Y16*(1+N(Debts!$D$14)/12),2)</f>
        <v>0</v>
      </c>
      <c r="AJ17" s="56" t="n">
        <f aca="false">MIN(Z17,MAX(0,N(Debts!$E$5)))</f>
        <v>0</v>
      </c>
      <c r="AK17" s="56" t="n">
        <f aca="false">MIN(AA17,MAX(0,N(Debts!$E$6)))</f>
        <v>170</v>
      </c>
      <c r="AL17" s="56" t="n">
        <f aca="false">MIN(AB17,MAX(0,N(Debts!$E$7)))</f>
        <v>310</v>
      </c>
      <c r="AM17" s="56" t="n">
        <f aca="false">MIN(AC17,MAX(0,N(Debts!$E$8)))</f>
        <v>145</v>
      </c>
      <c r="AN17" s="56" t="n">
        <f aca="false">MIN(AD17,MAX(0,N(Debts!$E$9)))</f>
        <v>0</v>
      </c>
      <c r="AO17" s="56" t="n">
        <f aca="false">MIN(AE17,MAX(0,N(Debts!$E$10)))</f>
        <v>210</v>
      </c>
      <c r="AP17" s="56" t="n">
        <f aca="false">MIN(AF17,MAX(0,N(Debts!$E$11)))</f>
        <v>0</v>
      </c>
      <c r="AQ17" s="56" t="n">
        <f aca="false">MIN(AG17,MAX(0,N(Debts!$E$12)))</f>
        <v>0</v>
      </c>
      <c r="AR17" s="56" t="n">
        <f aca="false">MIN(AH17,MAX(0,N(Debts!$E$13)))</f>
        <v>0</v>
      </c>
      <c r="AS17" s="56" t="n">
        <f aca="false">MIN(AI17,MAX(0,N(Debts!$E$14)))</f>
        <v>0</v>
      </c>
    </row>
    <row r="18" customFormat="false" ht="15" hidden="false" customHeight="false" outlineLevel="0" collapsed="false">
      <c r="A18" s="53" t="n">
        <v>14</v>
      </c>
      <c r="B18" s="54" t="n">
        <f aca="false">EDATE('Start Here'!$B$8,13)</f>
        <v>46722</v>
      </c>
      <c r="C18" s="42" t="n">
        <f aca="false">SUM(F18:O18)</f>
        <v>1220</v>
      </c>
      <c r="D18" s="42" t="n">
        <f aca="false">ROUND(SUM($Z18:$AI18)-SUM(P17:Y17),2)</f>
        <v>252.34</v>
      </c>
      <c r="E18" s="55" t="n">
        <f aca="false">SUM(P18:Y18)</f>
        <v>31248.72</v>
      </c>
      <c r="F18" s="42" t="n">
        <f aca="false">AJ18+MIN(Z18-AJ18,MAX(0,'Start Here'!$B$10-SUM($AJ18:$AS18)-SUMPRODUCT(($Z$3:$AI$3&lt;Z$3)*($Z18:$AI18-$AJ18:$AS18))))</f>
        <v>0</v>
      </c>
      <c r="G18" s="42" t="n">
        <f aca="false">AK18+MIN(AA18-AK18,MAX(0,'Start Here'!$B$10-SUM($AJ18:$AS18)-SUMPRODUCT(($Z$3:$AI$3&lt;AA$3)*($Z18:$AI18-$AJ18:$AS18))))</f>
        <v>700</v>
      </c>
      <c r="H18" s="42" t="n">
        <f aca="false">AL18+MIN(AB18-AL18,MAX(0,'Start Here'!$B$10-SUM($AJ18:$AS18)-SUMPRODUCT(($Z$3:$AI$3&lt;AB$3)*($Z18:$AI18-$AJ18:$AS18))))</f>
        <v>310</v>
      </c>
      <c r="I18" s="42" t="n">
        <f aca="false">AM18+MIN(AC18-AM18,MAX(0,'Start Here'!$B$10-SUM($AJ18:$AS18)-SUMPRODUCT(($Z$3:$AI$3&lt;AC$3)*($Z18:$AI18-$AJ18:$AS18))))</f>
        <v>0</v>
      </c>
      <c r="J18" s="42" t="n">
        <f aca="false">AN18+MIN(AD18-AN18,MAX(0,'Start Here'!$B$10-SUM($AJ18:$AS18)-SUMPRODUCT(($Z$3:$AI$3&lt;AD$3)*($Z18:$AI18-$AJ18:$AS18))))</f>
        <v>0</v>
      </c>
      <c r="K18" s="42" t="n">
        <f aca="false">AO18+MIN(AE18-AO18,MAX(0,'Start Here'!$B$10-SUM($AJ18:$AS18)-SUMPRODUCT(($Z$3:$AI$3&lt;AE$3)*($Z18:$AI18-$AJ18:$AS18))))</f>
        <v>210</v>
      </c>
      <c r="L18" s="42" t="n">
        <f aca="false">AP18+MIN(AF18-AP18,MAX(0,'Start Here'!$B$10-SUM($AJ18:$AS18)-SUMPRODUCT(($Z$3:$AI$3&lt;AF$3)*($Z18:$AI18-$AJ18:$AS18))))</f>
        <v>0</v>
      </c>
      <c r="M18" s="42" t="n">
        <f aca="false">AQ18+MIN(AG18-AQ18,MAX(0,'Start Here'!$B$10-SUM($AJ18:$AS18)-SUMPRODUCT(($Z$3:$AI$3&lt;AG$3)*($Z18:$AI18-$AJ18:$AS18))))</f>
        <v>0</v>
      </c>
      <c r="N18" s="42" t="n">
        <f aca="false">AR18+MIN(AH18-AR18,MAX(0,'Start Here'!$B$10-SUM($AJ18:$AS18)-SUMPRODUCT(($Z$3:$AI$3&lt;AH$3)*($Z18:$AI18-$AJ18:$AS18))))</f>
        <v>0</v>
      </c>
      <c r="O18" s="42" t="n">
        <f aca="false">AS18+MIN(AI18-AS18,MAX(0,'Start Here'!$B$10-SUM($AJ18:$AS18)-SUMPRODUCT(($Z$3:$AI$3&lt;AI$3)*($Z18:$AI18-$AJ18:$AS18))))</f>
        <v>0</v>
      </c>
      <c r="P18" s="42" t="n">
        <f aca="false">ROUND(Z18-F18,2)</f>
        <v>0</v>
      </c>
      <c r="Q18" s="42" t="n">
        <f aca="false">ROUND(AA18-G18,2)</f>
        <v>5492.44</v>
      </c>
      <c r="R18" s="42" t="n">
        <f aca="false">ROUND(AB18-H18,2)</f>
        <v>9062.39</v>
      </c>
      <c r="S18" s="42" t="n">
        <f aca="false">ROUND(AC18-I18,2)</f>
        <v>0</v>
      </c>
      <c r="T18" s="42" t="n">
        <f aca="false">ROUND(AD18-J18,2)</f>
        <v>0</v>
      </c>
      <c r="U18" s="42" t="n">
        <f aca="false">ROUND(AE18-K18,2)</f>
        <v>16693.89</v>
      </c>
      <c r="V18" s="42" t="n">
        <f aca="false">ROUND(AF18-L18,2)</f>
        <v>0</v>
      </c>
      <c r="W18" s="42" t="n">
        <f aca="false">ROUND(AG18-M18,2)</f>
        <v>0</v>
      </c>
      <c r="X18" s="42" t="n">
        <f aca="false">ROUND(AH18-N18,2)</f>
        <v>0</v>
      </c>
      <c r="Y18" s="42" t="n">
        <f aca="false">ROUND(AI18-O18,2)</f>
        <v>0</v>
      </c>
      <c r="Z18" s="56" t="n">
        <f aca="false">ROUND(P17*(1+N(Debts!$D$5)/12),2)</f>
        <v>0</v>
      </c>
      <c r="AA18" s="56" t="n">
        <f aca="false">ROUND(Q17*(1+N(Debts!$D$6)/12),2)</f>
        <v>6192.44</v>
      </c>
      <c r="AB18" s="56" t="n">
        <f aca="false">ROUND(R17*(1+N(Debts!$D$7)/12),2)</f>
        <v>9372.39</v>
      </c>
      <c r="AC18" s="56" t="n">
        <f aca="false">ROUND(S17*(1+N(Debts!$D$8)/12),2)</f>
        <v>0</v>
      </c>
      <c r="AD18" s="56" t="n">
        <f aca="false">ROUND(T17*(1+N(Debts!$D$9)/12),2)</f>
        <v>0</v>
      </c>
      <c r="AE18" s="56" t="n">
        <f aca="false">ROUND(U17*(1+N(Debts!$D$10)/12),2)</f>
        <v>16903.89</v>
      </c>
      <c r="AF18" s="56" t="n">
        <f aca="false">ROUND(V17*(1+N(Debts!$D$11)/12),2)</f>
        <v>0</v>
      </c>
      <c r="AG18" s="56" t="n">
        <f aca="false">ROUND(W17*(1+N(Debts!$D$12)/12),2)</f>
        <v>0</v>
      </c>
      <c r="AH18" s="56" t="n">
        <f aca="false">ROUND(X17*(1+N(Debts!$D$13)/12),2)</f>
        <v>0</v>
      </c>
      <c r="AI18" s="56" t="n">
        <f aca="false">ROUND(Y17*(1+N(Debts!$D$14)/12),2)</f>
        <v>0</v>
      </c>
      <c r="AJ18" s="56" t="n">
        <f aca="false">MIN(Z18,MAX(0,N(Debts!$E$5)))</f>
        <v>0</v>
      </c>
      <c r="AK18" s="56" t="n">
        <f aca="false">MIN(AA18,MAX(0,N(Debts!$E$6)))</f>
        <v>170</v>
      </c>
      <c r="AL18" s="56" t="n">
        <f aca="false">MIN(AB18,MAX(0,N(Debts!$E$7)))</f>
        <v>310</v>
      </c>
      <c r="AM18" s="56" t="n">
        <f aca="false">MIN(AC18,MAX(0,N(Debts!$E$8)))</f>
        <v>0</v>
      </c>
      <c r="AN18" s="56" t="n">
        <f aca="false">MIN(AD18,MAX(0,N(Debts!$E$9)))</f>
        <v>0</v>
      </c>
      <c r="AO18" s="56" t="n">
        <f aca="false">MIN(AE18,MAX(0,N(Debts!$E$10)))</f>
        <v>210</v>
      </c>
      <c r="AP18" s="56" t="n">
        <f aca="false">MIN(AF18,MAX(0,N(Debts!$E$11)))</f>
        <v>0</v>
      </c>
      <c r="AQ18" s="56" t="n">
        <f aca="false">MIN(AG18,MAX(0,N(Debts!$E$12)))</f>
        <v>0</v>
      </c>
      <c r="AR18" s="56" t="n">
        <f aca="false">MIN(AH18,MAX(0,N(Debts!$E$13)))</f>
        <v>0</v>
      </c>
      <c r="AS18" s="56" t="n">
        <f aca="false">MIN(AI18,MAX(0,N(Debts!$E$14)))</f>
        <v>0</v>
      </c>
    </row>
    <row r="19" customFormat="false" ht="15" hidden="false" customHeight="false" outlineLevel="0" collapsed="false">
      <c r="A19" s="53" t="n">
        <v>15</v>
      </c>
      <c r="B19" s="54" t="n">
        <f aca="false">EDATE('Start Here'!$B$8,14)</f>
        <v>46753</v>
      </c>
      <c r="C19" s="42" t="n">
        <f aca="false">SUM(F19:O19)</f>
        <v>1220</v>
      </c>
      <c r="D19" s="42" t="n">
        <f aca="false">ROUND(SUM($Z19:$AI19)-SUM(P18:Y18),2)</f>
        <v>239.11</v>
      </c>
      <c r="E19" s="55" t="n">
        <f aca="false">SUM(P19:Y19)</f>
        <v>30267.83</v>
      </c>
      <c r="F19" s="42" t="n">
        <f aca="false">AJ19+MIN(Z19-AJ19,MAX(0,'Start Here'!$B$10-SUM($AJ19:$AS19)-SUMPRODUCT(($Z$3:$AI$3&lt;Z$3)*($Z19:$AI19-$AJ19:$AS19))))</f>
        <v>0</v>
      </c>
      <c r="G19" s="42" t="n">
        <f aca="false">AK19+MIN(AA19-AK19,MAX(0,'Start Here'!$B$10-SUM($AJ19:$AS19)-SUMPRODUCT(($Z$3:$AI$3&lt;AA$3)*($Z19:$AI19-$AJ19:$AS19))))</f>
        <v>700</v>
      </c>
      <c r="H19" s="42" t="n">
        <f aca="false">AL19+MIN(AB19-AL19,MAX(0,'Start Here'!$B$10-SUM($AJ19:$AS19)-SUMPRODUCT(($Z$3:$AI$3&lt;AB$3)*($Z19:$AI19-$AJ19:$AS19))))</f>
        <v>310</v>
      </c>
      <c r="I19" s="42" t="n">
        <f aca="false">AM19+MIN(AC19-AM19,MAX(0,'Start Here'!$B$10-SUM($AJ19:$AS19)-SUMPRODUCT(($Z$3:$AI$3&lt;AC$3)*($Z19:$AI19-$AJ19:$AS19))))</f>
        <v>0</v>
      </c>
      <c r="J19" s="42" t="n">
        <f aca="false">AN19+MIN(AD19-AN19,MAX(0,'Start Here'!$B$10-SUM($AJ19:$AS19)-SUMPRODUCT(($Z$3:$AI$3&lt;AD$3)*($Z19:$AI19-$AJ19:$AS19))))</f>
        <v>0</v>
      </c>
      <c r="K19" s="42" t="n">
        <f aca="false">AO19+MIN(AE19-AO19,MAX(0,'Start Here'!$B$10-SUM($AJ19:$AS19)-SUMPRODUCT(($Z$3:$AI$3&lt;AE$3)*($Z19:$AI19-$AJ19:$AS19))))</f>
        <v>210</v>
      </c>
      <c r="L19" s="42" t="n">
        <f aca="false">AP19+MIN(AF19-AP19,MAX(0,'Start Here'!$B$10-SUM($AJ19:$AS19)-SUMPRODUCT(($Z$3:$AI$3&lt;AF$3)*($Z19:$AI19-$AJ19:$AS19))))</f>
        <v>0</v>
      </c>
      <c r="M19" s="42" t="n">
        <f aca="false">AQ19+MIN(AG19-AQ19,MAX(0,'Start Here'!$B$10-SUM($AJ19:$AS19)-SUMPRODUCT(($Z$3:$AI$3&lt;AG$3)*($Z19:$AI19-$AJ19:$AS19))))</f>
        <v>0</v>
      </c>
      <c r="N19" s="42" t="n">
        <f aca="false">AR19+MIN(AH19-AR19,MAX(0,'Start Here'!$B$10-SUM($AJ19:$AS19)-SUMPRODUCT(($Z$3:$AI$3&lt;AH$3)*($Z19:$AI19-$AJ19:$AS19))))</f>
        <v>0</v>
      </c>
      <c r="O19" s="42" t="n">
        <f aca="false">AS19+MIN(AI19-AS19,MAX(0,'Start Here'!$B$10-SUM($AJ19:$AS19)-SUMPRODUCT(($Z$3:$AI$3&lt;AI$3)*($Z19:$AI19-$AJ19:$AS19))))</f>
        <v>0</v>
      </c>
      <c r="P19" s="42" t="n">
        <f aca="false">ROUND(Z19-F19,2)</f>
        <v>0</v>
      </c>
      <c r="Q19" s="42" t="n">
        <f aca="false">ROUND(AA19-G19,2)</f>
        <v>4895.38</v>
      </c>
      <c r="R19" s="42" t="n">
        <f aca="false">ROUND(AB19-H19,2)</f>
        <v>8812.05</v>
      </c>
      <c r="S19" s="42" t="n">
        <f aca="false">ROUND(AC19-I19,2)</f>
        <v>0</v>
      </c>
      <c r="T19" s="42" t="n">
        <f aca="false">ROUND(AD19-J19,2)</f>
        <v>0</v>
      </c>
      <c r="U19" s="42" t="n">
        <f aca="false">ROUND(AE19-K19,2)</f>
        <v>16560.4</v>
      </c>
      <c r="V19" s="42" t="n">
        <f aca="false">ROUND(AF19-L19,2)</f>
        <v>0</v>
      </c>
      <c r="W19" s="42" t="n">
        <f aca="false">ROUND(AG19-M19,2)</f>
        <v>0</v>
      </c>
      <c r="X19" s="42" t="n">
        <f aca="false">ROUND(AH19-N19,2)</f>
        <v>0</v>
      </c>
      <c r="Y19" s="42" t="n">
        <f aca="false">ROUND(AI19-O19,2)</f>
        <v>0</v>
      </c>
      <c r="Z19" s="56" t="n">
        <f aca="false">ROUND(P18*(1+N(Debts!$D$5)/12),2)</f>
        <v>0</v>
      </c>
      <c r="AA19" s="56" t="n">
        <f aca="false">ROUND(Q18*(1+N(Debts!$D$6)/12),2)</f>
        <v>5595.38</v>
      </c>
      <c r="AB19" s="56" t="n">
        <f aca="false">ROUND(R18*(1+N(Debts!$D$7)/12),2)</f>
        <v>9122.05</v>
      </c>
      <c r="AC19" s="56" t="n">
        <f aca="false">ROUND(S18*(1+N(Debts!$D$8)/12),2)</f>
        <v>0</v>
      </c>
      <c r="AD19" s="56" t="n">
        <f aca="false">ROUND(T18*(1+N(Debts!$D$9)/12),2)</f>
        <v>0</v>
      </c>
      <c r="AE19" s="56" t="n">
        <f aca="false">ROUND(U18*(1+N(Debts!$D$10)/12),2)</f>
        <v>16770.4</v>
      </c>
      <c r="AF19" s="56" t="n">
        <f aca="false">ROUND(V18*(1+N(Debts!$D$11)/12),2)</f>
        <v>0</v>
      </c>
      <c r="AG19" s="56" t="n">
        <f aca="false">ROUND(W18*(1+N(Debts!$D$12)/12),2)</f>
        <v>0</v>
      </c>
      <c r="AH19" s="56" t="n">
        <f aca="false">ROUND(X18*(1+N(Debts!$D$13)/12),2)</f>
        <v>0</v>
      </c>
      <c r="AI19" s="56" t="n">
        <f aca="false">ROUND(Y18*(1+N(Debts!$D$14)/12),2)</f>
        <v>0</v>
      </c>
      <c r="AJ19" s="56" t="n">
        <f aca="false">MIN(Z19,MAX(0,N(Debts!$E$5)))</f>
        <v>0</v>
      </c>
      <c r="AK19" s="56" t="n">
        <f aca="false">MIN(AA19,MAX(0,N(Debts!$E$6)))</f>
        <v>170</v>
      </c>
      <c r="AL19" s="56" t="n">
        <f aca="false">MIN(AB19,MAX(0,N(Debts!$E$7)))</f>
        <v>310</v>
      </c>
      <c r="AM19" s="56" t="n">
        <f aca="false">MIN(AC19,MAX(0,N(Debts!$E$8)))</f>
        <v>0</v>
      </c>
      <c r="AN19" s="56" t="n">
        <f aca="false">MIN(AD19,MAX(0,N(Debts!$E$9)))</f>
        <v>0</v>
      </c>
      <c r="AO19" s="56" t="n">
        <f aca="false">MIN(AE19,MAX(0,N(Debts!$E$10)))</f>
        <v>210</v>
      </c>
      <c r="AP19" s="56" t="n">
        <f aca="false">MIN(AF19,MAX(0,N(Debts!$E$11)))</f>
        <v>0</v>
      </c>
      <c r="AQ19" s="56" t="n">
        <f aca="false">MIN(AG19,MAX(0,N(Debts!$E$12)))</f>
        <v>0</v>
      </c>
      <c r="AR19" s="56" t="n">
        <f aca="false">MIN(AH19,MAX(0,N(Debts!$E$13)))</f>
        <v>0</v>
      </c>
      <c r="AS19" s="56" t="n">
        <f aca="false">MIN(AI19,MAX(0,N(Debts!$E$14)))</f>
        <v>0</v>
      </c>
    </row>
    <row r="20" customFormat="false" ht="15" hidden="false" customHeight="false" outlineLevel="0" collapsed="false">
      <c r="A20" s="53" t="n">
        <v>16</v>
      </c>
      <c r="B20" s="54" t="n">
        <f aca="false">EDATE('Start Here'!$B$8,15)</f>
        <v>46784</v>
      </c>
      <c r="C20" s="42" t="n">
        <f aca="false">SUM(F20:O20)</f>
        <v>1220</v>
      </c>
      <c r="D20" s="42" t="n">
        <f aca="false">ROUND(SUM($Z20:$AI20)-SUM(P19:Y19),2)</f>
        <v>225.66</v>
      </c>
      <c r="E20" s="55" t="n">
        <f aca="false">SUM(P20:Y20)</f>
        <v>29273.49</v>
      </c>
      <c r="F20" s="42" t="n">
        <f aca="false">AJ20+MIN(Z20-AJ20,MAX(0,'Start Here'!$B$10-SUM($AJ20:$AS20)-SUMPRODUCT(($Z$3:$AI$3&lt;Z$3)*($Z20:$AI20-$AJ20:$AS20))))</f>
        <v>0</v>
      </c>
      <c r="G20" s="42" t="n">
        <f aca="false">AK20+MIN(AA20-AK20,MAX(0,'Start Here'!$B$10-SUM($AJ20:$AS20)-SUMPRODUCT(($Z$3:$AI$3&lt;AA$3)*($Z20:$AI20-$AJ20:$AS20))))</f>
        <v>700</v>
      </c>
      <c r="H20" s="42" t="n">
        <f aca="false">AL20+MIN(AB20-AL20,MAX(0,'Start Here'!$B$10-SUM($AJ20:$AS20)-SUMPRODUCT(($Z$3:$AI$3&lt;AB$3)*($Z20:$AI20-$AJ20:$AS20))))</f>
        <v>310</v>
      </c>
      <c r="I20" s="42" t="n">
        <f aca="false">AM20+MIN(AC20-AM20,MAX(0,'Start Here'!$B$10-SUM($AJ20:$AS20)-SUMPRODUCT(($Z$3:$AI$3&lt;AC$3)*($Z20:$AI20-$AJ20:$AS20))))</f>
        <v>0</v>
      </c>
      <c r="J20" s="42" t="n">
        <f aca="false">AN20+MIN(AD20-AN20,MAX(0,'Start Here'!$B$10-SUM($AJ20:$AS20)-SUMPRODUCT(($Z$3:$AI$3&lt;AD$3)*($Z20:$AI20-$AJ20:$AS20))))</f>
        <v>0</v>
      </c>
      <c r="K20" s="42" t="n">
        <f aca="false">AO20+MIN(AE20-AO20,MAX(0,'Start Here'!$B$10-SUM($AJ20:$AS20)-SUMPRODUCT(($Z$3:$AI$3&lt;AE$3)*($Z20:$AI20-$AJ20:$AS20))))</f>
        <v>210</v>
      </c>
      <c r="L20" s="42" t="n">
        <f aca="false">AP20+MIN(AF20-AP20,MAX(0,'Start Here'!$B$10-SUM($AJ20:$AS20)-SUMPRODUCT(($Z$3:$AI$3&lt;AF$3)*($Z20:$AI20-$AJ20:$AS20))))</f>
        <v>0</v>
      </c>
      <c r="M20" s="42" t="n">
        <f aca="false">AQ20+MIN(AG20-AQ20,MAX(0,'Start Here'!$B$10-SUM($AJ20:$AS20)-SUMPRODUCT(($Z$3:$AI$3&lt;AG$3)*($Z20:$AI20-$AJ20:$AS20))))</f>
        <v>0</v>
      </c>
      <c r="N20" s="42" t="n">
        <f aca="false">AR20+MIN(AH20-AR20,MAX(0,'Start Here'!$B$10-SUM($AJ20:$AS20)-SUMPRODUCT(($Z$3:$AI$3&lt;AH$3)*($Z20:$AI20-$AJ20:$AS20))))</f>
        <v>0</v>
      </c>
      <c r="O20" s="42" t="n">
        <f aca="false">AS20+MIN(AI20-AS20,MAX(0,'Start Here'!$B$10-SUM($AJ20:$AS20)-SUMPRODUCT(($Z$3:$AI$3&lt;AI$3)*($Z20:$AI20-$AJ20:$AS20))))</f>
        <v>0</v>
      </c>
      <c r="P20" s="42" t="n">
        <f aca="false">ROUND(Z20-F20,2)</f>
        <v>0</v>
      </c>
      <c r="Q20" s="42" t="n">
        <f aca="false">ROUND(AA20-G20,2)</f>
        <v>4287.13</v>
      </c>
      <c r="R20" s="42" t="n">
        <f aca="false">ROUND(AB20-H20,2)</f>
        <v>8560.06</v>
      </c>
      <c r="S20" s="42" t="n">
        <f aca="false">ROUND(AC20-I20,2)</f>
        <v>0</v>
      </c>
      <c r="T20" s="42" t="n">
        <f aca="false">ROUND(AD20-J20,2)</f>
        <v>0</v>
      </c>
      <c r="U20" s="42" t="n">
        <f aca="false">ROUND(AE20-K20,2)</f>
        <v>16426.3</v>
      </c>
      <c r="V20" s="42" t="n">
        <f aca="false">ROUND(AF20-L20,2)</f>
        <v>0</v>
      </c>
      <c r="W20" s="42" t="n">
        <f aca="false">ROUND(AG20-M20,2)</f>
        <v>0</v>
      </c>
      <c r="X20" s="42" t="n">
        <f aca="false">ROUND(AH20-N20,2)</f>
        <v>0</v>
      </c>
      <c r="Y20" s="42" t="n">
        <f aca="false">ROUND(AI20-O20,2)</f>
        <v>0</v>
      </c>
      <c r="Z20" s="56" t="n">
        <f aca="false">ROUND(P19*(1+N(Debts!$D$5)/12),2)</f>
        <v>0</v>
      </c>
      <c r="AA20" s="56" t="n">
        <f aca="false">ROUND(Q19*(1+N(Debts!$D$6)/12),2)</f>
        <v>4987.13</v>
      </c>
      <c r="AB20" s="56" t="n">
        <f aca="false">ROUND(R19*(1+N(Debts!$D$7)/12),2)</f>
        <v>8870.06</v>
      </c>
      <c r="AC20" s="56" t="n">
        <f aca="false">ROUND(S19*(1+N(Debts!$D$8)/12),2)</f>
        <v>0</v>
      </c>
      <c r="AD20" s="56" t="n">
        <f aca="false">ROUND(T19*(1+N(Debts!$D$9)/12),2)</f>
        <v>0</v>
      </c>
      <c r="AE20" s="56" t="n">
        <f aca="false">ROUND(U19*(1+N(Debts!$D$10)/12),2)</f>
        <v>16636.3</v>
      </c>
      <c r="AF20" s="56" t="n">
        <f aca="false">ROUND(V19*(1+N(Debts!$D$11)/12),2)</f>
        <v>0</v>
      </c>
      <c r="AG20" s="56" t="n">
        <f aca="false">ROUND(W19*(1+N(Debts!$D$12)/12),2)</f>
        <v>0</v>
      </c>
      <c r="AH20" s="56" t="n">
        <f aca="false">ROUND(X19*(1+N(Debts!$D$13)/12),2)</f>
        <v>0</v>
      </c>
      <c r="AI20" s="56" t="n">
        <f aca="false">ROUND(Y19*(1+N(Debts!$D$14)/12),2)</f>
        <v>0</v>
      </c>
      <c r="AJ20" s="56" t="n">
        <f aca="false">MIN(Z20,MAX(0,N(Debts!$E$5)))</f>
        <v>0</v>
      </c>
      <c r="AK20" s="56" t="n">
        <f aca="false">MIN(AA20,MAX(0,N(Debts!$E$6)))</f>
        <v>170</v>
      </c>
      <c r="AL20" s="56" t="n">
        <f aca="false">MIN(AB20,MAX(0,N(Debts!$E$7)))</f>
        <v>310</v>
      </c>
      <c r="AM20" s="56" t="n">
        <f aca="false">MIN(AC20,MAX(0,N(Debts!$E$8)))</f>
        <v>0</v>
      </c>
      <c r="AN20" s="56" t="n">
        <f aca="false">MIN(AD20,MAX(0,N(Debts!$E$9)))</f>
        <v>0</v>
      </c>
      <c r="AO20" s="56" t="n">
        <f aca="false">MIN(AE20,MAX(0,N(Debts!$E$10)))</f>
        <v>210</v>
      </c>
      <c r="AP20" s="56" t="n">
        <f aca="false">MIN(AF20,MAX(0,N(Debts!$E$11)))</f>
        <v>0</v>
      </c>
      <c r="AQ20" s="56" t="n">
        <f aca="false">MIN(AG20,MAX(0,N(Debts!$E$12)))</f>
        <v>0</v>
      </c>
      <c r="AR20" s="56" t="n">
        <f aca="false">MIN(AH20,MAX(0,N(Debts!$E$13)))</f>
        <v>0</v>
      </c>
      <c r="AS20" s="56" t="n">
        <f aca="false">MIN(AI20,MAX(0,N(Debts!$E$14)))</f>
        <v>0</v>
      </c>
    </row>
    <row r="21" customFormat="false" ht="15" hidden="false" customHeight="false" outlineLevel="0" collapsed="false">
      <c r="A21" s="53" t="n">
        <v>17</v>
      </c>
      <c r="B21" s="54" t="n">
        <f aca="false">EDATE('Start Here'!$B$8,16)</f>
        <v>46813</v>
      </c>
      <c r="C21" s="42" t="n">
        <f aca="false">SUM(F21:O21)</f>
        <v>1220</v>
      </c>
      <c r="D21" s="42" t="n">
        <f aca="false">ROUND(SUM($Z21:$AI21)-SUM(P20:Y20),2)</f>
        <v>211.99</v>
      </c>
      <c r="E21" s="55" t="n">
        <f aca="false">SUM(P21:Y21)</f>
        <v>28265.48</v>
      </c>
      <c r="F21" s="42" t="n">
        <f aca="false">AJ21+MIN(Z21-AJ21,MAX(0,'Start Here'!$B$10-SUM($AJ21:$AS21)-SUMPRODUCT(($Z$3:$AI$3&lt;Z$3)*($Z21:$AI21-$AJ21:$AS21))))</f>
        <v>0</v>
      </c>
      <c r="G21" s="42" t="n">
        <f aca="false">AK21+MIN(AA21-AK21,MAX(0,'Start Here'!$B$10-SUM($AJ21:$AS21)-SUMPRODUCT(($Z$3:$AI$3&lt;AA$3)*($Z21:$AI21-$AJ21:$AS21))))</f>
        <v>700</v>
      </c>
      <c r="H21" s="42" t="n">
        <f aca="false">AL21+MIN(AB21-AL21,MAX(0,'Start Here'!$B$10-SUM($AJ21:$AS21)-SUMPRODUCT(($Z$3:$AI$3&lt;AB$3)*($Z21:$AI21-$AJ21:$AS21))))</f>
        <v>310</v>
      </c>
      <c r="I21" s="42" t="n">
        <f aca="false">AM21+MIN(AC21-AM21,MAX(0,'Start Here'!$B$10-SUM($AJ21:$AS21)-SUMPRODUCT(($Z$3:$AI$3&lt;AC$3)*($Z21:$AI21-$AJ21:$AS21))))</f>
        <v>0</v>
      </c>
      <c r="J21" s="42" t="n">
        <f aca="false">AN21+MIN(AD21-AN21,MAX(0,'Start Here'!$B$10-SUM($AJ21:$AS21)-SUMPRODUCT(($Z$3:$AI$3&lt;AD$3)*($Z21:$AI21-$AJ21:$AS21))))</f>
        <v>0</v>
      </c>
      <c r="K21" s="42" t="n">
        <f aca="false">AO21+MIN(AE21-AO21,MAX(0,'Start Here'!$B$10-SUM($AJ21:$AS21)-SUMPRODUCT(($Z$3:$AI$3&lt;AE$3)*($Z21:$AI21-$AJ21:$AS21))))</f>
        <v>210</v>
      </c>
      <c r="L21" s="42" t="n">
        <f aca="false">AP21+MIN(AF21-AP21,MAX(0,'Start Here'!$B$10-SUM($AJ21:$AS21)-SUMPRODUCT(($Z$3:$AI$3&lt;AF$3)*($Z21:$AI21-$AJ21:$AS21))))</f>
        <v>0</v>
      </c>
      <c r="M21" s="42" t="n">
        <f aca="false">AQ21+MIN(AG21-AQ21,MAX(0,'Start Here'!$B$10-SUM($AJ21:$AS21)-SUMPRODUCT(($Z$3:$AI$3&lt;AG$3)*($Z21:$AI21-$AJ21:$AS21))))</f>
        <v>0</v>
      </c>
      <c r="N21" s="42" t="n">
        <f aca="false">AR21+MIN(AH21-AR21,MAX(0,'Start Here'!$B$10-SUM($AJ21:$AS21)-SUMPRODUCT(($Z$3:$AI$3&lt;AH$3)*($Z21:$AI21-$AJ21:$AS21))))</f>
        <v>0</v>
      </c>
      <c r="O21" s="42" t="n">
        <f aca="false">AS21+MIN(AI21-AS21,MAX(0,'Start Here'!$B$10-SUM($AJ21:$AS21)-SUMPRODUCT(($Z$3:$AI$3&lt;AI$3)*($Z21:$AI21-$AJ21:$AS21))))</f>
        <v>0</v>
      </c>
      <c r="P21" s="42" t="n">
        <f aca="false">ROUND(Z21-F21,2)</f>
        <v>0</v>
      </c>
      <c r="Q21" s="42" t="n">
        <f aca="false">ROUND(AA21-G21,2)</f>
        <v>3667.48</v>
      </c>
      <c r="R21" s="42" t="n">
        <f aca="false">ROUND(AB21-H21,2)</f>
        <v>8306.41</v>
      </c>
      <c r="S21" s="42" t="n">
        <f aca="false">ROUND(AC21-I21,2)</f>
        <v>0</v>
      </c>
      <c r="T21" s="42" t="n">
        <f aca="false">ROUND(AD21-J21,2)</f>
        <v>0</v>
      </c>
      <c r="U21" s="42" t="n">
        <f aca="false">ROUND(AE21-K21,2)</f>
        <v>16291.59</v>
      </c>
      <c r="V21" s="42" t="n">
        <f aca="false">ROUND(AF21-L21,2)</f>
        <v>0</v>
      </c>
      <c r="W21" s="42" t="n">
        <f aca="false">ROUND(AG21-M21,2)</f>
        <v>0</v>
      </c>
      <c r="X21" s="42" t="n">
        <f aca="false">ROUND(AH21-N21,2)</f>
        <v>0</v>
      </c>
      <c r="Y21" s="42" t="n">
        <f aca="false">ROUND(AI21-O21,2)</f>
        <v>0</v>
      </c>
      <c r="Z21" s="56" t="n">
        <f aca="false">ROUND(P20*(1+N(Debts!$D$5)/12),2)</f>
        <v>0</v>
      </c>
      <c r="AA21" s="56" t="n">
        <f aca="false">ROUND(Q20*(1+N(Debts!$D$6)/12),2)</f>
        <v>4367.48</v>
      </c>
      <c r="AB21" s="56" t="n">
        <f aca="false">ROUND(R20*(1+N(Debts!$D$7)/12),2)</f>
        <v>8616.41</v>
      </c>
      <c r="AC21" s="56" t="n">
        <f aca="false">ROUND(S20*(1+N(Debts!$D$8)/12),2)</f>
        <v>0</v>
      </c>
      <c r="AD21" s="56" t="n">
        <f aca="false">ROUND(T20*(1+N(Debts!$D$9)/12),2)</f>
        <v>0</v>
      </c>
      <c r="AE21" s="56" t="n">
        <f aca="false">ROUND(U20*(1+N(Debts!$D$10)/12),2)</f>
        <v>16501.59</v>
      </c>
      <c r="AF21" s="56" t="n">
        <f aca="false">ROUND(V20*(1+N(Debts!$D$11)/12),2)</f>
        <v>0</v>
      </c>
      <c r="AG21" s="56" t="n">
        <f aca="false">ROUND(W20*(1+N(Debts!$D$12)/12),2)</f>
        <v>0</v>
      </c>
      <c r="AH21" s="56" t="n">
        <f aca="false">ROUND(X20*(1+N(Debts!$D$13)/12),2)</f>
        <v>0</v>
      </c>
      <c r="AI21" s="56" t="n">
        <f aca="false">ROUND(Y20*(1+N(Debts!$D$14)/12),2)</f>
        <v>0</v>
      </c>
      <c r="AJ21" s="56" t="n">
        <f aca="false">MIN(Z21,MAX(0,N(Debts!$E$5)))</f>
        <v>0</v>
      </c>
      <c r="AK21" s="56" t="n">
        <f aca="false">MIN(AA21,MAX(0,N(Debts!$E$6)))</f>
        <v>170</v>
      </c>
      <c r="AL21" s="56" t="n">
        <f aca="false">MIN(AB21,MAX(0,N(Debts!$E$7)))</f>
        <v>310</v>
      </c>
      <c r="AM21" s="56" t="n">
        <f aca="false">MIN(AC21,MAX(0,N(Debts!$E$8)))</f>
        <v>0</v>
      </c>
      <c r="AN21" s="56" t="n">
        <f aca="false">MIN(AD21,MAX(0,N(Debts!$E$9)))</f>
        <v>0</v>
      </c>
      <c r="AO21" s="56" t="n">
        <f aca="false">MIN(AE21,MAX(0,N(Debts!$E$10)))</f>
        <v>210</v>
      </c>
      <c r="AP21" s="56" t="n">
        <f aca="false">MIN(AF21,MAX(0,N(Debts!$E$11)))</f>
        <v>0</v>
      </c>
      <c r="AQ21" s="56" t="n">
        <f aca="false">MIN(AG21,MAX(0,N(Debts!$E$12)))</f>
        <v>0</v>
      </c>
      <c r="AR21" s="56" t="n">
        <f aca="false">MIN(AH21,MAX(0,N(Debts!$E$13)))</f>
        <v>0</v>
      </c>
      <c r="AS21" s="56" t="n">
        <f aca="false">MIN(AI21,MAX(0,N(Debts!$E$14)))</f>
        <v>0</v>
      </c>
    </row>
    <row r="22" customFormat="false" ht="15" hidden="false" customHeight="false" outlineLevel="0" collapsed="false">
      <c r="A22" s="53" t="n">
        <v>18</v>
      </c>
      <c r="B22" s="54" t="n">
        <f aca="false">EDATE('Start Here'!$B$8,17)</f>
        <v>46844</v>
      </c>
      <c r="C22" s="42" t="n">
        <f aca="false">SUM(F22:O22)</f>
        <v>1220</v>
      </c>
      <c r="D22" s="42" t="n">
        <f aca="false">ROUND(SUM($Z22:$AI22)-SUM(P21:Y21),2)</f>
        <v>198.08</v>
      </c>
      <c r="E22" s="55" t="n">
        <f aca="false">SUM(P22:Y22)</f>
        <v>27243.56</v>
      </c>
      <c r="F22" s="42" t="n">
        <f aca="false">AJ22+MIN(Z22-AJ22,MAX(0,'Start Here'!$B$10-SUM($AJ22:$AS22)-SUMPRODUCT(($Z$3:$AI$3&lt;Z$3)*($Z22:$AI22-$AJ22:$AS22))))</f>
        <v>0</v>
      </c>
      <c r="G22" s="42" t="n">
        <f aca="false">AK22+MIN(AA22-AK22,MAX(0,'Start Here'!$B$10-SUM($AJ22:$AS22)-SUMPRODUCT(($Z$3:$AI$3&lt;AA$3)*($Z22:$AI22-$AJ22:$AS22))))</f>
        <v>700</v>
      </c>
      <c r="H22" s="42" t="n">
        <f aca="false">AL22+MIN(AB22-AL22,MAX(0,'Start Here'!$B$10-SUM($AJ22:$AS22)-SUMPRODUCT(($Z$3:$AI$3&lt;AB$3)*($Z22:$AI22-$AJ22:$AS22))))</f>
        <v>310</v>
      </c>
      <c r="I22" s="42" t="n">
        <f aca="false">AM22+MIN(AC22-AM22,MAX(0,'Start Here'!$B$10-SUM($AJ22:$AS22)-SUMPRODUCT(($Z$3:$AI$3&lt;AC$3)*($Z22:$AI22-$AJ22:$AS22))))</f>
        <v>0</v>
      </c>
      <c r="J22" s="42" t="n">
        <f aca="false">AN22+MIN(AD22-AN22,MAX(0,'Start Here'!$B$10-SUM($AJ22:$AS22)-SUMPRODUCT(($Z$3:$AI$3&lt;AD$3)*($Z22:$AI22-$AJ22:$AS22))))</f>
        <v>0</v>
      </c>
      <c r="K22" s="42" t="n">
        <f aca="false">AO22+MIN(AE22-AO22,MAX(0,'Start Here'!$B$10-SUM($AJ22:$AS22)-SUMPRODUCT(($Z$3:$AI$3&lt;AE$3)*($Z22:$AI22-$AJ22:$AS22))))</f>
        <v>210</v>
      </c>
      <c r="L22" s="42" t="n">
        <f aca="false">AP22+MIN(AF22-AP22,MAX(0,'Start Here'!$B$10-SUM($AJ22:$AS22)-SUMPRODUCT(($Z$3:$AI$3&lt;AF$3)*($Z22:$AI22-$AJ22:$AS22))))</f>
        <v>0</v>
      </c>
      <c r="M22" s="42" t="n">
        <f aca="false">AQ22+MIN(AG22-AQ22,MAX(0,'Start Here'!$B$10-SUM($AJ22:$AS22)-SUMPRODUCT(($Z$3:$AI$3&lt;AG$3)*($Z22:$AI22-$AJ22:$AS22))))</f>
        <v>0</v>
      </c>
      <c r="N22" s="42" t="n">
        <f aca="false">AR22+MIN(AH22-AR22,MAX(0,'Start Here'!$B$10-SUM($AJ22:$AS22)-SUMPRODUCT(($Z$3:$AI$3&lt;AH$3)*($Z22:$AI22-$AJ22:$AS22))))</f>
        <v>0</v>
      </c>
      <c r="O22" s="42" t="n">
        <f aca="false">AS22+MIN(AI22-AS22,MAX(0,'Start Here'!$B$10-SUM($AJ22:$AS22)-SUMPRODUCT(($Z$3:$AI$3&lt;AI$3)*($Z22:$AI22-$AJ22:$AS22))))</f>
        <v>0</v>
      </c>
      <c r="P22" s="42" t="n">
        <f aca="false">ROUND(Z22-F22,2)</f>
        <v>0</v>
      </c>
      <c r="Q22" s="42" t="n">
        <f aca="false">ROUND(AA22-G22,2)</f>
        <v>3036.21</v>
      </c>
      <c r="R22" s="42" t="n">
        <f aca="false">ROUND(AB22-H22,2)</f>
        <v>8051.09</v>
      </c>
      <c r="S22" s="42" t="n">
        <f aca="false">ROUND(AC22-I22,2)</f>
        <v>0</v>
      </c>
      <c r="T22" s="42" t="n">
        <f aca="false">ROUND(AD22-J22,2)</f>
        <v>0</v>
      </c>
      <c r="U22" s="42" t="n">
        <f aca="false">ROUND(AE22-K22,2)</f>
        <v>16156.26</v>
      </c>
      <c r="V22" s="42" t="n">
        <f aca="false">ROUND(AF22-L22,2)</f>
        <v>0</v>
      </c>
      <c r="W22" s="42" t="n">
        <f aca="false">ROUND(AG22-M22,2)</f>
        <v>0</v>
      </c>
      <c r="X22" s="42" t="n">
        <f aca="false">ROUND(AH22-N22,2)</f>
        <v>0</v>
      </c>
      <c r="Y22" s="42" t="n">
        <f aca="false">ROUND(AI22-O22,2)</f>
        <v>0</v>
      </c>
      <c r="Z22" s="56" t="n">
        <f aca="false">ROUND(P21*(1+N(Debts!$D$5)/12),2)</f>
        <v>0</v>
      </c>
      <c r="AA22" s="56" t="n">
        <f aca="false">ROUND(Q21*(1+N(Debts!$D$6)/12),2)</f>
        <v>3736.21</v>
      </c>
      <c r="AB22" s="56" t="n">
        <f aca="false">ROUND(R21*(1+N(Debts!$D$7)/12),2)</f>
        <v>8361.09</v>
      </c>
      <c r="AC22" s="56" t="n">
        <f aca="false">ROUND(S21*(1+N(Debts!$D$8)/12),2)</f>
        <v>0</v>
      </c>
      <c r="AD22" s="56" t="n">
        <f aca="false">ROUND(T21*(1+N(Debts!$D$9)/12),2)</f>
        <v>0</v>
      </c>
      <c r="AE22" s="56" t="n">
        <f aca="false">ROUND(U21*(1+N(Debts!$D$10)/12),2)</f>
        <v>16366.26</v>
      </c>
      <c r="AF22" s="56" t="n">
        <f aca="false">ROUND(V21*(1+N(Debts!$D$11)/12),2)</f>
        <v>0</v>
      </c>
      <c r="AG22" s="56" t="n">
        <f aca="false">ROUND(W21*(1+N(Debts!$D$12)/12),2)</f>
        <v>0</v>
      </c>
      <c r="AH22" s="56" t="n">
        <f aca="false">ROUND(X21*(1+N(Debts!$D$13)/12),2)</f>
        <v>0</v>
      </c>
      <c r="AI22" s="56" t="n">
        <f aca="false">ROUND(Y21*(1+N(Debts!$D$14)/12),2)</f>
        <v>0</v>
      </c>
      <c r="AJ22" s="56" t="n">
        <f aca="false">MIN(Z22,MAX(0,N(Debts!$E$5)))</f>
        <v>0</v>
      </c>
      <c r="AK22" s="56" t="n">
        <f aca="false">MIN(AA22,MAX(0,N(Debts!$E$6)))</f>
        <v>170</v>
      </c>
      <c r="AL22" s="56" t="n">
        <f aca="false">MIN(AB22,MAX(0,N(Debts!$E$7)))</f>
        <v>310</v>
      </c>
      <c r="AM22" s="56" t="n">
        <f aca="false">MIN(AC22,MAX(0,N(Debts!$E$8)))</f>
        <v>0</v>
      </c>
      <c r="AN22" s="56" t="n">
        <f aca="false">MIN(AD22,MAX(0,N(Debts!$E$9)))</f>
        <v>0</v>
      </c>
      <c r="AO22" s="56" t="n">
        <f aca="false">MIN(AE22,MAX(0,N(Debts!$E$10)))</f>
        <v>210</v>
      </c>
      <c r="AP22" s="56" t="n">
        <f aca="false">MIN(AF22,MAX(0,N(Debts!$E$11)))</f>
        <v>0</v>
      </c>
      <c r="AQ22" s="56" t="n">
        <f aca="false">MIN(AG22,MAX(0,N(Debts!$E$12)))</f>
        <v>0</v>
      </c>
      <c r="AR22" s="56" t="n">
        <f aca="false">MIN(AH22,MAX(0,N(Debts!$E$13)))</f>
        <v>0</v>
      </c>
      <c r="AS22" s="56" t="n">
        <f aca="false">MIN(AI22,MAX(0,N(Debts!$E$14)))</f>
        <v>0</v>
      </c>
    </row>
    <row r="23" customFormat="false" ht="15" hidden="false" customHeight="false" outlineLevel="0" collapsed="false">
      <c r="A23" s="53" t="n">
        <v>19</v>
      </c>
      <c r="B23" s="54" t="n">
        <f aca="false">EDATE('Start Here'!$B$8,18)</f>
        <v>46874</v>
      </c>
      <c r="C23" s="42" t="n">
        <f aca="false">SUM(F23:O23)</f>
        <v>1220</v>
      </c>
      <c r="D23" s="42" t="n">
        <f aca="false">ROUND(SUM($Z23:$AI23)-SUM(P22:Y22),2)</f>
        <v>183.95</v>
      </c>
      <c r="E23" s="55" t="n">
        <f aca="false">SUM(P23:Y23)</f>
        <v>26207.51</v>
      </c>
      <c r="F23" s="42" t="n">
        <f aca="false">AJ23+MIN(Z23-AJ23,MAX(0,'Start Here'!$B$10-SUM($AJ23:$AS23)-SUMPRODUCT(($Z$3:$AI$3&lt;Z$3)*($Z23:$AI23-$AJ23:$AS23))))</f>
        <v>0</v>
      </c>
      <c r="G23" s="42" t="n">
        <f aca="false">AK23+MIN(AA23-AK23,MAX(0,'Start Here'!$B$10-SUM($AJ23:$AS23)-SUMPRODUCT(($Z$3:$AI$3&lt;AA$3)*($Z23:$AI23-$AJ23:$AS23))))</f>
        <v>700</v>
      </c>
      <c r="H23" s="42" t="n">
        <f aca="false">AL23+MIN(AB23-AL23,MAX(0,'Start Here'!$B$10-SUM($AJ23:$AS23)-SUMPRODUCT(($Z$3:$AI$3&lt;AB$3)*($Z23:$AI23-$AJ23:$AS23))))</f>
        <v>310</v>
      </c>
      <c r="I23" s="42" t="n">
        <f aca="false">AM23+MIN(AC23-AM23,MAX(0,'Start Here'!$B$10-SUM($AJ23:$AS23)-SUMPRODUCT(($Z$3:$AI$3&lt;AC$3)*($Z23:$AI23-$AJ23:$AS23))))</f>
        <v>0</v>
      </c>
      <c r="J23" s="42" t="n">
        <f aca="false">AN23+MIN(AD23-AN23,MAX(0,'Start Here'!$B$10-SUM($AJ23:$AS23)-SUMPRODUCT(($Z$3:$AI$3&lt;AD$3)*($Z23:$AI23-$AJ23:$AS23))))</f>
        <v>0</v>
      </c>
      <c r="K23" s="42" t="n">
        <f aca="false">AO23+MIN(AE23-AO23,MAX(0,'Start Here'!$B$10-SUM($AJ23:$AS23)-SUMPRODUCT(($Z$3:$AI$3&lt;AE$3)*($Z23:$AI23-$AJ23:$AS23))))</f>
        <v>210</v>
      </c>
      <c r="L23" s="42" t="n">
        <f aca="false">AP23+MIN(AF23-AP23,MAX(0,'Start Here'!$B$10-SUM($AJ23:$AS23)-SUMPRODUCT(($Z$3:$AI$3&lt;AF$3)*($Z23:$AI23-$AJ23:$AS23))))</f>
        <v>0</v>
      </c>
      <c r="M23" s="42" t="n">
        <f aca="false">AQ23+MIN(AG23-AQ23,MAX(0,'Start Here'!$B$10-SUM($AJ23:$AS23)-SUMPRODUCT(($Z$3:$AI$3&lt;AG$3)*($Z23:$AI23-$AJ23:$AS23))))</f>
        <v>0</v>
      </c>
      <c r="N23" s="42" t="n">
        <f aca="false">AR23+MIN(AH23-AR23,MAX(0,'Start Here'!$B$10-SUM($AJ23:$AS23)-SUMPRODUCT(($Z$3:$AI$3&lt;AH$3)*($Z23:$AI23-$AJ23:$AS23))))</f>
        <v>0</v>
      </c>
      <c r="O23" s="42" t="n">
        <f aca="false">AS23+MIN(AI23-AS23,MAX(0,'Start Here'!$B$10-SUM($AJ23:$AS23)-SUMPRODUCT(($Z$3:$AI$3&lt;AI$3)*($Z23:$AI23-$AJ23:$AS23))))</f>
        <v>0</v>
      </c>
      <c r="P23" s="42" t="n">
        <f aca="false">ROUND(Z23-F23,2)</f>
        <v>0</v>
      </c>
      <c r="Q23" s="42" t="n">
        <f aca="false">ROUND(AA23-G23,2)</f>
        <v>2393.11</v>
      </c>
      <c r="R23" s="42" t="n">
        <f aca="false">ROUND(AB23-H23,2)</f>
        <v>7794.09</v>
      </c>
      <c r="S23" s="42" t="n">
        <f aca="false">ROUND(AC23-I23,2)</f>
        <v>0</v>
      </c>
      <c r="T23" s="42" t="n">
        <f aca="false">ROUND(AD23-J23,2)</f>
        <v>0</v>
      </c>
      <c r="U23" s="42" t="n">
        <f aca="false">ROUND(AE23-K23,2)</f>
        <v>16020.31</v>
      </c>
      <c r="V23" s="42" t="n">
        <f aca="false">ROUND(AF23-L23,2)</f>
        <v>0</v>
      </c>
      <c r="W23" s="42" t="n">
        <f aca="false">ROUND(AG23-M23,2)</f>
        <v>0</v>
      </c>
      <c r="X23" s="42" t="n">
        <f aca="false">ROUND(AH23-N23,2)</f>
        <v>0</v>
      </c>
      <c r="Y23" s="42" t="n">
        <f aca="false">ROUND(AI23-O23,2)</f>
        <v>0</v>
      </c>
      <c r="Z23" s="56" t="n">
        <f aca="false">ROUND(P22*(1+N(Debts!$D$5)/12),2)</f>
        <v>0</v>
      </c>
      <c r="AA23" s="56" t="n">
        <f aca="false">ROUND(Q22*(1+N(Debts!$D$6)/12),2)</f>
        <v>3093.11</v>
      </c>
      <c r="AB23" s="56" t="n">
        <f aca="false">ROUND(R22*(1+N(Debts!$D$7)/12),2)</f>
        <v>8104.09</v>
      </c>
      <c r="AC23" s="56" t="n">
        <f aca="false">ROUND(S22*(1+N(Debts!$D$8)/12),2)</f>
        <v>0</v>
      </c>
      <c r="AD23" s="56" t="n">
        <f aca="false">ROUND(T22*(1+N(Debts!$D$9)/12),2)</f>
        <v>0</v>
      </c>
      <c r="AE23" s="56" t="n">
        <f aca="false">ROUND(U22*(1+N(Debts!$D$10)/12),2)</f>
        <v>16230.31</v>
      </c>
      <c r="AF23" s="56" t="n">
        <f aca="false">ROUND(V22*(1+N(Debts!$D$11)/12),2)</f>
        <v>0</v>
      </c>
      <c r="AG23" s="56" t="n">
        <f aca="false">ROUND(W22*(1+N(Debts!$D$12)/12),2)</f>
        <v>0</v>
      </c>
      <c r="AH23" s="56" t="n">
        <f aca="false">ROUND(X22*(1+N(Debts!$D$13)/12),2)</f>
        <v>0</v>
      </c>
      <c r="AI23" s="56" t="n">
        <f aca="false">ROUND(Y22*(1+N(Debts!$D$14)/12),2)</f>
        <v>0</v>
      </c>
      <c r="AJ23" s="56" t="n">
        <f aca="false">MIN(Z23,MAX(0,N(Debts!$E$5)))</f>
        <v>0</v>
      </c>
      <c r="AK23" s="56" t="n">
        <f aca="false">MIN(AA23,MAX(0,N(Debts!$E$6)))</f>
        <v>170</v>
      </c>
      <c r="AL23" s="56" t="n">
        <f aca="false">MIN(AB23,MAX(0,N(Debts!$E$7)))</f>
        <v>310</v>
      </c>
      <c r="AM23" s="56" t="n">
        <f aca="false">MIN(AC23,MAX(0,N(Debts!$E$8)))</f>
        <v>0</v>
      </c>
      <c r="AN23" s="56" t="n">
        <f aca="false">MIN(AD23,MAX(0,N(Debts!$E$9)))</f>
        <v>0</v>
      </c>
      <c r="AO23" s="56" t="n">
        <f aca="false">MIN(AE23,MAX(0,N(Debts!$E$10)))</f>
        <v>210</v>
      </c>
      <c r="AP23" s="56" t="n">
        <f aca="false">MIN(AF23,MAX(0,N(Debts!$E$11)))</f>
        <v>0</v>
      </c>
      <c r="AQ23" s="56" t="n">
        <f aca="false">MIN(AG23,MAX(0,N(Debts!$E$12)))</f>
        <v>0</v>
      </c>
      <c r="AR23" s="56" t="n">
        <f aca="false">MIN(AH23,MAX(0,N(Debts!$E$13)))</f>
        <v>0</v>
      </c>
      <c r="AS23" s="56" t="n">
        <f aca="false">MIN(AI23,MAX(0,N(Debts!$E$14)))</f>
        <v>0</v>
      </c>
    </row>
    <row r="24" customFormat="false" ht="15" hidden="false" customHeight="false" outlineLevel="0" collapsed="false">
      <c r="A24" s="53" t="n">
        <v>20</v>
      </c>
      <c r="B24" s="54" t="n">
        <f aca="false">EDATE('Start Here'!$B$8,19)</f>
        <v>46905</v>
      </c>
      <c r="C24" s="42" t="n">
        <f aca="false">SUM(F24:O24)</f>
        <v>1220</v>
      </c>
      <c r="D24" s="42" t="n">
        <f aca="false">ROUND(SUM($Z24:$AI24)-SUM(P23:Y23),2)</f>
        <v>169.59</v>
      </c>
      <c r="E24" s="55" t="n">
        <f aca="false">SUM(P24:Y24)</f>
        <v>25157.1</v>
      </c>
      <c r="F24" s="42" t="n">
        <f aca="false">AJ24+MIN(Z24-AJ24,MAX(0,'Start Here'!$B$10-SUM($AJ24:$AS24)-SUMPRODUCT(($Z$3:$AI$3&lt;Z$3)*($Z24:$AI24-$AJ24:$AS24))))</f>
        <v>0</v>
      </c>
      <c r="G24" s="42" t="n">
        <f aca="false">AK24+MIN(AA24-AK24,MAX(0,'Start Here'!$B$10-SUM($AJ24:$AS24)-SUMPRODUCT(($Z$3:$AI$3&lt;AA$3)*($Z24:$AI24-$AJ24:$AS24))))</f>
        <v>700</v>
      </c>
      <c r="H24" s="42" t="n">
        <f aca="false">AL24+MIN(AB24-AL24,MAX(0,'Start Here'!$B$10-SUM($AJ24:$AS24)-SUMPRODUCT(($Z$3:$AI$3&lt;AB$3)*($Z24:$AI24-$AJ24:$AS24))))</f>
        <v>310</v>
      </c>
      <c r="I24" s="42" t="n">
        <f aca="false">AM24+MIN(AC24-AM24,MAX(0,'Start Here'!$B$10-SUM($AJ24:$AS24)-SUMPRODUCT(($Z$3:$AI$3&lt;AC$3)*($Z24:$AI24-$AJ24:$AS24))))</f>
        <v>0</v>
      </c>
      <c r="J24" s="42" t="n">
        <f aca="false">AN24+MIN(AD24-AN24,MAX(0,'Start Here'!$B$10-SUM($AJ24:$AS24)-SUMPRODUCT(($Z$3:$AI$3&lt;AD$3)*($Z24:$AI24-$AJ24:$AS24))))</f>
        <v>0</v>
      </c>
      <c r="K24" s="42" t="n">
        <f aca="false">AO24+MIN(AE24-AO24,MAX(0,'Start Here'!$B$10-SUM($AJ24:$AS24)-SUMPRODUCT(($Z$3:$AI$3&lt;AE$3)*($Z24:$AI24-$AJ24:$AS24))))</f>
        <v>210</v>
      </c>
      <c r="L24" s="42" t="n">
        <f aca="false">AP24+MIN(AF24-AP24,MAX(0,'Start Here'!$B$10-SUM($AJ24:$AS24)-SUMPRODUCT(($Z$3:$AI$3&lt;AF$3)*($Z24:$AI24-$AJ24:$AS24))))</f>
        <v>0</v>
      </c>
      <c r="M24" s="42" t="n">
        <f aca="false">AQ24+MIN(AG24-AQ24,MAX(0,'Start Here'!$B$10-SUM($AJ24:$AS24)-SUMPRODUCT(($Z$3:$AI$3&lt;AG$3)*($Z24:$AI24-$AJ24:$AS24))))</f>
        <v>0</v>
      </c>
      <c r="N24" s="42" t="n">
        <f aca="false">AR24+MIN(AH24-AR24,MAX(0,'Start Here'!$B$10-SUM($AJ24:$AS24)-SUMPRODUCT(($Z$3:$AI$3&lt;AH$3)*($Z24:$AI24-$AJ24:$AS24))))</f>
        <v>0</v>
      </c>
      <c r="O24" s="42" t="n">
        <f aca="false">AS24+MIN(AI24-AS24,MAX(0,'Start Here'!$B$10-SUM($AJ24:$AS24)-SUMPRODUCT(($Z$3:$AI$3&lt;AI$3)*($Z24:$AI24-$AJ24:$AS24))))</f>
        <v>0</v>
      </c>
      <c r="P24" s="42" t="n">
        <f aca="false">ROUND(Z24-F24,2)</f>
        <v>0</v>
      </c>
      <c r="Q24" s="42" t="n">
        <f aca="false">ROUND(AA24-G24,2)</f>
        <v>1737.96</v>
      </c>
      <c r="R24" s="42" t="n">
        <f aca="false">ROUND(AB24-H24,2)</f>
        <v>7535.4</v>
      </c>
      <c r="S24" s="42" t="n">
        <f aca="false">ROUND(AC24-I24,2)</f>
        <v>0</v>
      </c>
      <c r="T24" s="42" t="n">
        <f aca="false">ROUND(AD24-J24,2)</f>
        <v>0</v>
      </c>
      <c r="U24" s="42" t="n">
        <f aca="false">ROUND(AE24-K24,2)</f>
        <v>15883.74</v>
      </c>
      <c r="V24" s="42" t="n">
        <f aca="false">ROUND(AF24-L24,2)</f>
        <v>0</v>
      </c>
      <c r="W24" s="42" t="n">
        <f aca="false">ROUND(AG24-M24,2)</f>
        <v>0</v>
      </c>
      <c r="X24" s="42" t="n">
        <f aca="false">ROUND(AH24-N24,2)</f>
        <v>0</v>
      </c>
      <c r="Y24" s="42" t="n">
        <f aca="false">ROUND(AI24-O24,2)</f>
        <v>0</v>
      </c>
      <c r="Z24" s="56" t="n">
        <f aca="false">ROUND(P23*(1+N(Debts!$D$5)/12),2)</f>
        <v>0</v>
      </c>
      <c r="AA24" s="56" t="n">
        <f aca="false">ROUND(Q23*(1+N(Debts!$D$6)/12),2)</f>
        <v>2437.96</v>
      </c>
      <c r="AB24" s="56" t="n">
        <f aca="false">ROUND(R23*(1+N(Debts!$D$7)/12),2)</f>
        <v>7845.4</v>
      </c>
      <c r="AC24" s="56" t="n">
        <f aca="false">ROUND(S23*(1+N(Debts!$D$8)/12),2)</f>
        <v>0</v>
      </c>
      <c r="AD24" s="56" t="n">
        <f aca="false">ROUND(T23*(1+N(Debts!$D$9)/12),2)</f>
        <v>0</v>
      </c>
      <c r="AE24" s="56" t="n">
        <f aca="false">ROUND(U23*(1+N(Debts!$D$10)/12),2)</f>
        <v>16093.74</v>
      </c>
      <c r="AF24" s="56" t="n">
        <f aca="false">ROUND(V23*(1+N(Debts!$D$11)/12),2)</f>
        <v>0</v>
      </c>
      <c r="AG24" s="56" t="n">
        <f aca="false">ROUND(W23*(1+N(Debts!$D$12)/12),2)</f>
        <v>0</v>
      </c>
      <c r="AH24" s="56" t="n">
        <f aca="false">ROUND(X23*(1+N(Debts!$D$13)/12),2)</f>
        <v>0</v>
      </c>
      <c r="AI24" s="56" t="n">
        <f aca="false">ROUND(Y23*(1+N(Debts!$D$14)/12),2)</f>
        <v>0</v>
      </c>
      <c r="AJ24" s="56" t="n">
        <f aca="false">MIN(Z24,MAX(0,N(Debts!$E$5)))</f>
        <v>0</v>
      </c>
      <c r="AK24" s="56" t="n">
        <f aca="false">MIN(AA24,MAX(0,N(Debts!$E$6)))</f>
        <v>170</v>
      </c>
      <c r="AL24" s="56" t="n">
        <f aca="false">MIN(AB24,MAX(0,N(Debts!$E$7)))</f>
        <v>310</v>
      </c>
      <c r="AM24" s="56" t="n">
        <f aca="false">MIN(AC24,MAX(0,N(Debts!$E$8)))</f>
        <v>0</v>
      </c>
      <c r="AN24" s="56" t="n">
        <f aca="false">MIN(AD24,MAX(0,N(Debts!$E$9)))</f>
        <v>0</v>
      </c>
      <c r="AO24" s="56" t="n">
        <f aca="false">MIN(AE24,MAX(0,N(Debts!$E$10)))</f>
        <v>210</v>
      </c>
      <c r="AP24" s="56" t="n">
        <f aca="false">MIN(AF24,MAX(0,N(Debts!$E$11)))</f>
        <v>0</v>
      </c>
      <c r="AQ24" s="56" t="n">
        <f aca="false">MIN(AG24,MAX(0,N(Debts!$E$12)))</f>
        <v>0</v>
      </c>
      <c r="AR24" s="56" t="n">
        <f aca="false">MIN(AH24,MAX(0,N(Debts!$E$13)))</f>
        <v>0</v>
      </c>
      <c r="AS24" s="56" t="n">
        <f aca="false">MIN(AI24,MAX(0,N(Debts!$E$14)))</f>
        <v>0</v>
      </c>
    </row>
    <row r="25" customFormat="false" ht="15" hidden="false" customHeight="false" outlineLevel="0" collapsed="false">
      <c r="A25" s="53" t="n">
        <v>21</v>
      </c>
      <c r="B25" s="54" t="n">
        <f aca="false">EDATE('Start Here'!$B$8,20)</f>
        <v>46935</v>
      </c>
      <c r="C25" s="42" t="n">
        <f aca="false">SUM(F25:O25)</f>
        <v>1220</v>
      </c>
      <c r="D25" s="42" t="n">
        <f aca="false">ROUND(SUM($Z25:$AI25)-SUM(P24:Y24),2)</f>
        <v>154.98</v>
      </c>
      <c r="E25" s="55" t="n">
        <f aca="false">SUM(P25:Y25)</f>
        <v>24092.08</v>
      </c>
      <c r="F25" s="42" t="n">
        <f aca="false">AJ25+MIN(Z25-AJ25,MAX(0,'Start Here'!$B$10-SUM($AJ25:$AS25)-SUMPRODUCT(($Z$3:$AI$3&lt;Z$3)*($Z25:$AI25-$AJ25:$AS25))))</f>
        <v>0</v>
      </c>
      <c r="G25" s="42" t="n">
        <f aca="false">AK25+MIN(AA25-AK25,MAX(0,'Start Here'!$B$10-SUM($AJ25:$AS25)-SUMPRODUCT(($Z$3:$AI$3&lt;AA$3)*($Z25:$AI25-$AJ25:$AS25))))</f>
        <v>700</v>
      </c>
      <c r="H25" s="42" t="n">
        <f aca="false">AL25+MIN(AB25-AL25,MAX(0,'Start Here'!$B$10-SUM($AJ25:$AS25)-SUMPRODUCT(($Z$3:$AI$3&lt;AB$3)*($Z25:$AI25-$AJ25:$AS25))))</f>
        <v>310</v>
      </c>
      <c r="I25" s="42" t="n">
        <f aca="false">AM25+MIN(AC25-AM25,MAX(0,'Start Here'!$B$10-SUM($AJ25:$AS25)-SUMPRODUCT(($Z$3:$AI$3&lt;AC$3)*($Z25:$AI25-$AJ25:$AS25))))</f>
        <v>0</v>
      </c>
      <c r="J25" s="42" t="n">
        <f aca="false">AN25+MIN(AD25-AN25,MAX(0,'Start Here'!$B$10-SUM($AJ25:$AS25)-SUMPRODUCT(($Z$3:$AI$3&lt;AD$3)*($Z25:$AI25-$AJ25:$AS25))))</f>
        <v>0</v>
      </c>
      <c r="K25" s="42" t="n">
        <f aca="false">AO25+MIN(AE25-AO25,MAX(0,'Start Here'!$B$10-SUM($AJ25:$AS25)-SUMPRODUCT(($Z$3:$AI$3&lt;AE$3)*($Z25:$AI25-$AJ25:$AS25))))</f>
        <v>210</v>
      </c>
      <c r="L25" s="42" t="n">
        <f aca="false">AP25+MIN(AF25-AP25,MAX(0,'Start Here'!$B$10-SUM($AJ25:$AS25)-SUMPRODUCT(($Z$3:$AI$3&lt;AF$3)*($Z25:$AI25-$AJ25:$AS25))))</f>
        <v>0</v>
      </c>
      <c r="M25" s="42" t="n">
        <f aca="false">AQ25+MIN(AG25-AQ25,MAX(0,'Start Here'!$B$10-SUM($AJ25:$AS25)-SUMPRODUCT(($Z$3:$AI$3&lt;AG$3)*($Z25:$AI25-$AJ25:$AS25))))</f>
        <v>0</v>
      </c>
      <c r="N25" s="42" t="n">
        <f aca="false">AR25+MIN(AH25-AR25,MAX(0,'Start Here'!$B$10-SUM($AJ25:$AS25)-SUMPRODUCT(($Z$3:$AI$3&lt;AH$3)*($Z25:$AI25-$AJ25:$AS25))))</f>
        <v>0</v>
      </c>
      <c r="O25" s="42" t="n">
        <f aca="false">AS25+MIN(AI25-AS25,MAX(0,'Start Here'!$B$10-SUM($AJ25:$AS25)-SUMPRODUCT(($Z$3:$AI$3&lt;AI$3)*($Z25:$AI25-$AJ25:$AS25))))</f>
        <v>0</v>
      </c>
      <c r="P25" s="42" t="n">
        <f aca="false">ROUND(Z25-F25,2)</f>
        <v>0</v>
      </c>
      <c r="Q25" s="42" t="n">
        <f aca="false">ROUND(AA25-G25,2)</f>
        <v>1070.53</v>
      </c>
      <c r="R25" s="42" t="n">
        <f aca="false">ROUND(AB25-H25,2)</f>
        <v>7275.01</v>
      </c>
      <c r="S25" s="42" t="n">
        <f aca="false">ROUND(AC25-I25,2)</f>
        <v>0</v>
      </c>
      <c r="T25" s="42" t="n">
        <f aca="false">ROUND(AD25-J25,2)</f>
        <v>0</v>
      </c>
      <c r="U25" s="42" t="n">
        <f aca="false">ROUND(AE25-K25,2)</f>
        <v>15746.54</v>
      </c>
      <c r="V25" s="42" t="n">
        <f aca="false">ROUND(AF25-L25,2)</f>
        <v>0</v>
      </c>
      <c r="W25" s="42" t="n">
        <f aca="false">ROUND(AG25-M25,2)</f>
        <v>0</v>
      </c>
      <c r="X25" s="42" t="n">
        <f aca="false">ROUND(AH25-N25,2)</f>
        <v>0</v>
      </c>
      <c r="Y25" s="42" t="n">
        <f aca="false">ROUND(AI25-O25,2)</f>
        <v>0</v>
      </c>
      <c r="Z25" s="56" t="n">
        <f aca="false">ROUND(P24*(1+N(Debts!$D$5)/12),2)</f>
        <v>0</v>
      </c>
      <c r="AA25" s="56" t="n">
        <f aca="false">ROUND(Q24*(1+N(Debts!$D$6)/12),2)</f>
        <v>1770.53</v>
      </c>
      <c r="AB25" s="56" t="n">
        <f aca="false">ROUND(R24*(1+N(Debts!$D$7)/12),2)</f>
        <v>7585.01</v>
      </c>
      <c r="AC25" s="56" t="n">
        <f aca="false">ROUND(S24*(1+N(Debts!$D$8)/12),2)</f>
        <v>0</v>
      </c>
      <c r="AD25" s="56" t="n">
        <f aca="false">ROUND(T24*(1+N(Debts!$D$9)/12),2)</f>
        <v>0</v>
      </c>
      <c r="AE25" s="56" t="n">
        <f aca="false">ROUND(U24*(1+N(Debts!$D$10)/12),2)</f>
        <v>15956.54</v>
      </c>
      <c r="AF25" s="56" t="n">
        <f aca="false">ROUND(V24*(1+N(Debts!$D$11)/12),2)</f>
        <v>0</v>
      </c>
      <c r="AG25" s="56" t="n">
        <f aca="false">ROUND(W24*(1+N(Debts!$D$12)/12),2)</f>
        <v>0</v>
      </c>
      <c r="AH25" s="56" t="n">
        <f aca="false">ROUND(X24*(1+N(Debts!$D$13)/12),2)</f>
        <v>0</v>
      </c>
      <c r="AI25" s="56" t="n">
        <f aca="false">ROUND(Y24*(1+N(Debts!$D$14)/12),2)</f>
        <v>0</v>
      </c>
      <c r="AJ25" s="56" t="n">
        <f aca="false">MIN(Z25,MAX(0,N(Debts!$E$5)))</f>
        <v>0</v>
      </c>
      <c r="AK25" s="56" t="n">
        <f aca="false">MIN(AA25,MAX(0,N(Debts!$E$6)))</f>
        <v>170</v>
      </c>
      <c r="AL25" s="56" t="n">
        <f aca="false">MIN(AB25,MAX(0,N(Debts!$E$7)))</f>
        <v>310</v>
      </c>
      <c r="AM25" s="56" t="n">
        <f aca="false">MIN(AC25,MAX(0,N(Debts!$E$8)))</f>
        <v>0</v>
      </c>
      <c r="AN25" s="56" t="n">
        <f aca="false">MIN(AD25,MAX(0,N(Debts!$E$9)))</f>
        <v>0</v>
      </c>
      <c r="AO25" s="56" t="n">
        <f aca="false">MIN(AE25,MAX(0,N(Debts!$E$10)))</f>
        <v>210</v>
      </c>
      <c r="AP25" s="56" t="n">
        <f aca="false">MIN(AF25,MAX(0,N(Debts!$E$11)))</f>
        <v>0</v>
      </c>
      <c r="AQ25" s="56" t="n">
        <f aca="false">MIN(AG25,MAX(0,N(Debts!$E$12)))</f>
        <v>0</v>
      </c>
      <c r="AR25" s="56" t="n">
        <f aca="false">MIN(AH25,MAX(0,N(Debts!$E$13)))</f>
        <v>0</v>
      </c>
      <c r="AS25" s="56" t="n">
        <f aca="false">MIN(AI25,MAX(0,N(Debts!$E$14)))</f>
        <v>0</v>
      </c>
    </row>
    <row r="26" customFormat="false" ht="15" hidden="false" customHeight="false" outlineLevel="0" collapsed="false">
      <c r="A26" s="53" t="n">
        <v>22</v>
      </c>
      <c r="B26" s="54" t="n">
        <f aca="false">EDATE('Start Here'!$B$8,21)</f>
        <v>46966</v>
      </c>
      <c r="C26" s="42" t="n">
        <f aca="false">SUM(F26:O26)</f>
        <v>1220</v>
      </c>
      <c r="D26" s="42" t="n">
        <f aca="false">ROUND(SUM($Z26:$AI26)-SUM(P25:Y25),2)</f>
        <v>140.12</v>
      </c>
      <c r="E26" s="55" t="n">
        <f aca="false">SUM(P26:Y26)</f>
        <v>23012.2</v>
      </c>
      <c r="F26" s="42" t="n">
        <f aca="false">AJ26+MIN(Z26-AJ26,MAX(0,'Start Here'!$B$10-SUM($AJ26:$AS26)-SUMPRODUCT(($Z$3:$AI$3&lt;Z$3)*($Z26:$AI26-$AJ26:$AS26))))</f>
        <v>0</v>
      </c>
      <c r="G26" s="42" t="n">
        <f aca="false">AK26+MIN(AA26-AK26,MAX(0,'Start Here'!$B$10-SUM($AJ26:$AS26)-SUMPRODUCT(($Z$3:$AI$3&lt;AA$3)*($Z26:$AI26-$AJ26:$AS26))))</f>
        <v>700</v>
      </c>
      <c r="H26" s="42" t="n">
        <f aca="false">AL26+MIN(AB26-AL26,MAX(0,'Start Here'!$B$10-SUM($AJ26:$AS26)-SUMPRODUCT(($Z$3:$AI$3&lt;AB$3)*($Z26:$AI26-$AJ26:$AS26))))</f>
        <v>310</v>
      </c>
      <c r="I26" s="42" t="n">
        <f aca="false">AM26+MIN(AC26-AM26,MAX(0,'Start Here'!$B$10-SUM($AJ26:$AS26)-SUMPRODUCT(($Z$3:$AI$3&lt;AC$3)*($Z26:$AI26-$AJ26:$AS26))))</f>
        <v>0</v>
      </c>
      <c r="J26" s="42" t="n">
        <f aca="false">AN26+MIN(AD26-AN26,MAX(0,'Start Here'!$B$10-SUM($AJ26:$AS26)-SUMPRODUCT(($Z$3:$AI$3&lt;AD$3)*($Z26:$AI26-$AJ26:$AS26))))</f>
        <v>0</v>
      </c>
      <c r="K26" s="42" t="n">
        <f aca="false">AO26+MIN(AE26-AO26,MAX(0,'Start Here'!$B$10-SUM($AJ26:$AS26)-SUMPRODUCT(($Z$3:$AI$3&lt;AE$3)*($Z26:$AI26-$AJ26:$AS26))))</f>
        <v>210</v>
      </c>
      <c r="L26" s="42" t="n">
        <f aca="false">AP26+MIN(AF26-AP26,MAX(0,'Start Here'!$B$10-SUM($AJ26:$AS26)-SUMPRODUCT(($Z$3:$AI$3&lt;AF$3)*($Z26:$AI26-$AJ26:$AS26))))</f>
        <v>0</v>
      </c>
      <c r="M26" s="42" t="n">
        <f aca="false">AQ26+MIN(AG26-AQ26,MAX(0,'Start Here'!$B$10-SUM($AJ26:$AS26)-SUMPRODUCT(($Z$3:$AI$3&lt;AG$3)*($Z26:$AI26-$AJ26:$AS26))))</f>
        <v>0</v>
      </c>
      <c r="N26" s="42" t="n">
        <f aca="false">AR26+MIN(AH26-AR26,MAX(0,'Start Here'!$B$10-SUM($AJ26:$AS26)-SUMPRODUCT(($Z$3:$AI$3&lt;AH$3)*($Z26:$AI26-$AJ26:$AS26))))</f>
        <v>0</v>
      </c>
      <c r="O26" s="42" t="n">
        <f aca="false">AS26+MIN(AI26-AS26,MAX(0,'Start Here'!$B$10-SUM($AJ26:$AS26)-SUMPRODUCT(($Z$3:$AI$3&lt;AI$3)*($Z26:$AI26-$AJ26:$AS26))))</f>
        <v>0</v>
      </c>
      <c r="P26" s="42" t="n">
        <f aca="false">ROUND(Z26-F26,2)</f>
        <v>0</v>
      </c>
      <c r="Q26" s="42" t="n">
        <f aca="false">ROUND(AA26-G26,2)</f>
        <v>390.59</v>
      </c>
      <c r="R26" s="42" t="n">
        <f aca="false">ROUND(AB26-H26,2)</f>
        <v>7012.9</v>
      </c>
      <c r="S26" s="42" t="n">
        <f aca="false">ROUND(AC26-I26,2)</f>
        <v>0</v>
      </c>
      <c r="T26" s="42" t="n">
        <f aca="false">ROUND(AD26-J26,2)</f>
        <v>0</v>
      </c>
      <c r="U26" s="42" t="n">
        <f aca="false">ROUND(AE26-K26,2)</f>
        <v>15608.71</v>
      </c>
      <c r="V26" s="42" t="n">
        <f aca="false">ROUND(AF26-L26,2)</f>
        <v>0</v>
      </c>
      <c r="W26" s="42" t="n">
        <f aca="false">ROUND(AG26-M26,2)</f>
        <v>0</v>
      </c>
      <c r="X26" s="42" t="n">
        <f aca="false">ROUND(AH26-N26,2)</f>
        <v>0</v>
      </c>
      <c r="Y26" s="42" t="n">
        <f aca="false">ROUND(AI26-O26,2)</f>
        <v>0</v>
      </c>
      <c r="Z26" s="56" t="n">
        <f aca="false">ROUND(P25*(1+N(Debts!$D$5)/12),2)</f>
        <v>0</v>
      </c>
      <c r="AA26" s="56" t="n">
        <f aca="false">ROUND(Q25*(1+N(Debts!$D$6)/12),2)</f>
        <v>1090.59</v>
      </c>
      <c r="AB26" s="56" t="n">
        <f aca="false">ROUND(R25*(1+N(Debts!$D$7)/12),2)</f>
        <v>7322.9</v>
      </c>
      <c r="AC26" s="56" t="n">
        <f aca="false">ROUND(S25*(1+N(Debts!$D$8)/12),2)</f>
        <v>0</v>
      </c>
      <c r="AD26" s="56" t="n">
        <f aca="false">ROUND(T25*(1+N(Debts!$D$9)/12),2)</f>
        <v>0</v>
      </c>
      <c r="AE26" s="56" t="n">
        <f aca="false">ROUND(U25*(1+N(Debts!$D$10)/12),2)</f>
        <v>15818.71</v>
      </c>
      <c r="AF26" s="56" t="n">
        <f aca="false">ROUND(V25*(1+N(Debts!$D$11)/12),2)</f>
        <v>0</v>
      </c>
      <c r="AG26" s="56" t="n">
        <f aca="false">ROUND(W25*(1+N(Debts!$D$12)/12),2)</f>
        <v>0</v>
      </c>
      <c r="AH26" s="56" t="n">
        <f aca="false">ROUND(X25*(1+N(Debts!$D$13)/12),2)</f>
        <v>0</v>
      </c>
      <c r="AI26" s="56" t="n">
        <f aca="false">ROUND(Y25*(1+N(Debts!$D$14)/12),2)</f>
        <v>0</v>
      </c>
      <c r="AJ26" s="56" t="n">
        <f aca="false">MIN(Z26,MAX(0,N(Debts!$E$5)))</f>
        <v>0</v>
      </c>
      <c r="AK26" s="56" t="n">
        <f aca="false">MIN(AA26,MAX(0,N(Debts!$E$6)))</f>
        <v>170</v>
      </c>
      <c r="AL26" s="56" t="n">
        <f aca="false">MIN(AB26,MAX(0,N(Debts!$E$7)))</f>
        <v>310</v>
      </c>
      <c r="AM26" s="56" t="n">
        <f aca="false">MIN(AC26,MAX(0,N(Debts!$E$8)))</f>
        <v>0</v>
      </c>
      <c r="AN26" s="56" t="n">
        <f aca="false">MIN(AD26,MAX(0,N(Debts!$E$9)))</f>
        <v>0</v>
      </c>
      <c r="AO26" s="56" t="n">
        <f aca="false">MIN(AE26,MAX(0,N(Debts!$E$10)))</f>
        <v>210</v>
      </c>
      <c r="AP26" s="56" t="n">
        <f aca="false">MIN(AF26,MAX(0,N(Debts!$E$11)))</f>
        <v>0</v>
      </c>
      <c r="AQ26" s="56" t="n">
        <f aca="false">MIN(AG26,MAX(0,N(Debts!$E$12)))</f>
        <v>0</v>
      </c>
      <c r="AR26" s="56" t="n">
        <f aca="false">MIN(AH26,MAX(0,N(Debts!$E$13)))</f>
        <v>0</v>
      </c>
      <c r="AS26" s="56" t="n">
        <f aca="false">MIN(AI26,MAX(0,N(Debts!$E$14)))</f>
        <v>0</v>
      </c>
    </row>
    <row r="27" customFormat="false" ht="15" hidden="false" customHeight="false" outlineLevel="0" collapsed="false">
      <c r="A27" s="53" t="n">
        <v>23</v>
      </c>
      <c r="B27" s="54" t="n">
        <f aca="false">EDATE('Start Here'!$B$8,22)</f>
        <v>46997</v>
      </c>
      <c r="C27" s="42" t="n">
        <f aca="false">SUM(F27:O27)</f>
        <v>1220</v>
      </c>
      <c r="D27" s="42" t="n">
        <f aca="false">ROUND(SUM($Z27:$AI27)-SUM(P26:Y26),2)</f>
        <v>125.03</v>
      </c>
      <c r="E27" s="55" t="n">
        <f aca="false">SUM(P27:Y27)</f>
        <v>21917.23</v>
      </c>
      <c r="F27" s="42" t="n">
        <f aca="false">AJ27+MIN(Z27-AJ27,MAX(0,'Start Here'!$B$10-SUM($AJ27:$AS27)-SUMPRODUCT(($Z$3:$AI$3&lt;Z$3)*($Z27:$AI27-$AJ27:$AS27))))</f>
        <v>0</v>
      </c>
      <c r="G27" s="42" t="n">
        <f aca="false">AK27+MIN(AA27-AK27,MAX(0,'Start Here'!$B$10-SUM($AJ27:$AS27)-SUMPRODUCT(($Z$3:$AI$3&lt;AA$3)*($Z27:$AI27-$AJ27:$AS27))))</f>
        <v>397.91</v>
      </c>
      <c r="H27" s="42" t="n">
        <f aca="false">AL27+MIN(AB27-AL27,MAX(0,'Start Here'!$B$10-SUM($AJ27:$AS27)-SUMPRODUCT(($Z$3:$AI$3&lt;AB$3)*($Z27:$AI27-$AJ27:$AS27))))</f>
        <v>612.09</v>
      </c>
      <c r="I27" s="42" t="n">
        <f aca="false">AM27+MIN(AC27-AM27,MAX(0,'Start Here'!$B$10-SUM($AJ27:$AS27)-SUMPRODUCT(($Z$3:$AI$3&lt;AC$3)*($Z27:$AI27-$AJ27:$AS27))))</f>
        <v>0</v>
      </c>
      <c r="J27" s="42" t="n">
        <f aca="false">AN27+MIN(AD27-AN27,MAX(0,'Start Here'!$B$10-SUM($AJ27:$AS27)-SUMPRODUCT(($Z$3:$AI$3&lt;AD$3)*($Z27:$AI27-$AJ27:$AS27))))</f>
        <v>0</v>
      </c>
      <c r="K27" s="42" t="n">
        <f aca="false">AO27+MIN(AE27-AO27,MAX(0,'Start Here'!$B$10-SUM($AJ27:$AS27)-SUMPRODUCT(($Z$3:$AI$3&lt;AE$3)*($Z27:$AI27-$AJ27:$AS27))))</f>
        <v>210</v>
      </c>
      <c r="L27" s="42" t="n">
        <f aca="false">AP27+MIN(AF27-AP27,MAX(0,'Start Here'!$B$10-SUM($AJ27:$AS27)-SUMPRODUCT(($Z$3:$AI$3&lt;AF$3)*($Z27:$AI27-$AJ27:$AS27))))</f>
        <v>0</v>
      </c>
      <c r="M27" s="42" t="n">
        <f aca="false">AQ27+MIN(AG27-AQ27,MAX(0,'Start Here'!$B$10-SUM($AJ27:$AS27)-SUMPRODUCT(($Z$3:$AI$3&lt;AG$3)*($Z27:$AI27-$AJ27:$AS27))))</f>
        <v>0</v>
      </c>
      <c r="N27" s="42" t="n">
        <f aca="false">AR27+MIN(AH27-AR27,MAX(0,'Start Here'!$B$10-SUM($AJ27:$AS27)-SUMPRODUCT(($Z$3:$AI$3&lt;AH$3)*($Z27:$AI27-$AJ27:$AS27))))</f>
        <v>0</v>
      </c>
      <c r="O27" s="42" t="n">
        <f aca="false">AS27+MIN(AI27-AS27,MAX(0,'Start Here'!$B$10-SUM($AJ27:$AS27)-SUMPRODUCT(($Z$3:$AI$3&lt;AI$3)*($Z27:$AI27-$AJ27:$AS27))))</f>
        <v>0</v>
      </c>
      <c r="P27" s="42" t="n">
        <f aca="false">ROUND(Z27-F27,2)</f>
        <v>0</v>
      </c>
      <c r="Q27" s="42" t="n">
        <f aca="false">ROUND(AA27-G27,2)</f>
        <v>0</v>
      </c>
      <c r="R27" s="42" t="n">
        <f aca="false">ROUND(AB27-H27,2)</f>
        <v>6446.98</v>
      </c>
      <c r="S27" s="42" t="n">
        <f aca="false">ROUND(AC27-I27,2)</f>
        <v>0</v>
      </c>
      <c r="T27" s="42" t="n">
        <f aca="false">ROUND(AD27-J27,2)</f>
        <v>0</v>
      </c>
      <c r="U27" s="42" t="n">
        <f aca="false">ROUND(AE27-K27,2)</f>
        <v>15470.25</v>
      </c>
      <c r="V27" s="42" t="n">
        <f aca="false">ROUND(AF27-L27,2)</f>
        <v>0</v>
      </c>
      <c r="W27" s="42" t="n">
        <f aca="false">ROUND(AG27-M27,2)</f>
        <v>0</v>
      </c>
      <c r="X27" s="42" t="n">
        <f aca="false">ROUND(AH27-N27,2)</f>
        <v>0</v>
      </c>
      <c r="Y27" s="42" t="n">
        <f aca="false">ROUND(AI27-O27,2)</f>
        <v>0</v>
      </c>
      <c r="Z27" s="56" t="n">
        <f aca="false">ROUND(P26*(1+N(Debts!$D$5)/12),2)</f>
        <v>0</v>
      </c>
      <c r="AA27" s="56" t="n">
        <f aca="false">ROUND(Q26*(1+N(Debts!$D$6)/12),2)</f>
        <v>397.91</v>
      </c>
      <c r="AB27" s="56" t="n">
        <f aca="false">ROUND(R26*(1+N(Debts!$D$7)/12),2)</f>
        <v>7059.07</v>
      </c>
      <c r="AC27" s="56" t="n">
        <f aca="false">ROUND(S26*(1+N(Debts!$D$8)/12),2)</f>
        <v>0</v>
      </c>
      <c r="AD27" s="56" t="n">
        <f aca="false">ROUND(T26*(1+N(Debts!$D$9)/12),2)</f>
        <v>0</v>
      </c>
      <c r="AE27" s="56" t="n">
        <f aca="false">ROUND(U26*(1+N(Debts!$D$10)/12),2)</f>
        <v>15680.25</v>
      </c>
      <c r="AF27" s="56" t="n">
        <f aca="false">ROUND(V26*(1+N(Debts!$D$11)/12),2)</f>
        <v>0</v>
      </c>
      <c r="AG27" s="56" t="n">
        <f aca="false">ROUND(W26*(1+N(Debts!$D$12)/12),2)</f>
        <v>0</v>
      </c>
      <c r="AH27" s="56" t="n">
        <f aca="false">ROUND(X26*(1+N(Debts!$D$13)/12),2)</f>
        <v>0</v>
      </c>
      <c r="AI27" s="56" t="n">
        <f aca="false">ROUND(Y26*(1+N(Debts!$D$14)/12),2)</f>
        <v>0</v>
      </c>
      <c r="AJ27" s="56" t="n">
        <f aca="false">MIN(Z27,MAX(0,N(Debts!$E$5)))</f>
        <v>0</v>
      </c>
      <c r="AK27" s="56" t="n">
        <f aca="false">MIN(AA27,MAX(0,N(Debts!$E$6)))</f>
        <v>170</v>
      </c>
      <c r="AL27" s="56" t="n">
        <f aca="false">MIN(AB27,MAX(0,N(Debts!$E$7)))</f>
        <v>310</v>
      </c>
      <c r="AM27" s="56" t="n">
        <f aca="false">MIN(AC27,MAX(0,N(Debts!$E$8)))</f>
        <v>0</v>
      </c>
      <c r="AN27" s="56" t="n">
        <f aca="false">MIN(AD27,MAX(0,N(Debts!$E$9)))</f>
        <v>0</v>
      </c>
      <c r="AO27" s="56" t="n">
        <f aca="false">MIN(AE27,MAX(0,N(Debts!$E$10)))</f>
        <v>210</v>
      </c>
      <c r="AP27" s="56" t="n">
        <f aca="false">MIN(AF27,MAX(0,N(Debts!$E$11)))</f>
        <v>0</v>
      </c>
      <c r="AQ27" s="56" t="n">
        <f aca="false">MIN(AG27,MAX(0,N(Debts!$E$12)))</f>
        <v>0</v>
      </c>
      <c r="AR27" s="56" t="n">
        <f aca="false">MIN(AH27,MAX(0,N(Debts!$E$13)))</f>
        <v>0</v>
      </c>
      <c r="AS27" s="56" t="n">
        <f aca="false">MIN(AI27,MAX(0,N(Debts!$E$14)))</f>
        <v>0</v>
      </c>
    </row>
    <row r="28" customFormat="false" ht="15" hidden="false" customHeight="false" outlineLevel="0" collapsed="false">
      <c r="A28" s="53" t="n">
        <v>24</v>
      </c>
      <c r="B28" s="54" t="n">
        <f aca="false">EDATE('Start Here'!$B$8,23)</f>
        <v>47027</v>
      </c>
      <c r="C28" s="42" t="n">
        <f aca="false">SUM(F28:O28)</f>
        <v>1220</v>
      </c>
      <c r="D28" s="42" t="n">
        <f aca="false">ROUND(SUM($Z28:$AI28)-SUM(P27:Y27),2)</f>
        <v>113.35</v>
      </c>
      <c r="E28" s="55" t="n">
        <f aca="false">SUM(P28:Y28)</f>
        <v>20810.58</v>
      </c>
      <c r="F28" s="42" t="n">
        <f aca="false">AJ28+MIN(Z28-AJ28,MAX(0,'Start Here'!$B$10-SUM($AJ28:$AS28)-SUMPRODUCT(($Z$3:$AI$3&lt;Z$3)*($Z28:$AI28-$AJ28:$AS28))))</f>
        <v>0</v>
      </c>
      <c r="G28" s="42" t="n">
        <f aca="false">AK28+MIN(AA28-AK28,MAX(0,'Start Here'!$B$10-SUM($AJ28:$AS28)-SUMPRODUCT(($Z$3:$AI$3&lt;AA$3)*($Z28:$AI28-$AJ28:$AS28))))</f>
        <v>0</v>
      </c>
      <c r="H28" s="42" t="n">
        <f aca="false">AL28+MIN(AB28-AL28,MAX(0,'Start Here'!$B$10-SUM($AJ28:$AS28)-SUMPRODUCT(($Z$3:$AI$3&lt;AB$3)*($Z28:$AI28-$AJ28:$AS28))))</f>
        <v>1010</v>
      </c>
      <c r="I28" s="42" t="n">
        <f aca="false">AM28+MIN(AC28-AM28,MAX(0,'Start Here'!$B$10-SUM($AJ28:$AS28)-SUMPRODUCT(($Z$3:$AI$3&lt;AC$3)*($Z28:$AI28-$AJ28:$AS28))))</f>
        <v>0</v>
      </c>
      <c r="J28" s="42" t="n">
        <f aca="false">AN28+MIN(AD28-AN28,MAX(0,'Start Here'!$B$10-SUM($AJ28:$AS28)-SUMPRODUCT(($Z$3:$AI$3&lt;AD$3)*($Z28:$AI28-$AJ28:$AS28))))</f>
        <v>0</v>
      </c>
      <c r="K28" s="42" t="n">
        <f aca="false">AO28+MIN(AE28-AO28,MAX(0,'Start Here'!$B$10-SUM($AJ28:$AS28)-SUMPRODUCT(($Z$3:$AI$3&lt;AE$3)*($Z28:$AI28-$AJ28:$AS28))))</f>
        <v>210</v>
      </c>
      <c r="L28" s="42" t="n">
        <f aca="false">AP28+MIN(AF28-AP28,MAX(0,'Start Here'!$B$10-SUM($AJ28:$AS28)-SUMPRODUCT(($Z$3:$AI$3&lt;AF$3)*($Z28:$AI28-$AJ28:$AS28))))</f>
        <v>0</v>
      </c>
      <c r="M28" s="42" t="n">
        <f aca="false">AQ28+MIN(AG28-AQ28,MAX(0,'Start Here'!$B$10-SUM($AJ28:$AS28)-SUMPRODUCT(($Z$3:$AI$3&lt;AG$3)*($Z28:$AI28-$AJ28:$AS28))))</f>
        <v>0</v>
      </c>
      <c r="N28" s="42" t="n">
        <f aca="false">AR28+MIN(AH28-AR28,MAX(0,'Start Here'!$B$10-SUM($AJ28:$AS28)-SUMPRODUCT(($Z$3:$AI$3&lt;AH$3)*($Z28:$AI28-$AJ28:$AS28))))</f>
        <v>0</v>
      </c>
      <c r="O28" s="42" t="n">
        <f aca="false">AS28+MIN(AI28-AS28,MAX(0,'Start Here'!$B$10-SUM($AJ28:$AS28)-SUMPRODUCT(($Z$3:$AI$3&lt;AI$3)*($Z28:$AI28-$AJ28:$AS28))))</f>
        <v>0</v>
      </c>
      <c r="P28" s="42" t="n">
        <f aca="false">ROUND(Z28-F28,2)</f>
        <v>0</v>
      </c>
      <c r="Q28" s="42" t="n">
        <f aca="false">ROUND(AA28-G28,2)</f>
        <v>0</v>
      </c>
      <c r="R28" s="42" t="n">
        <f aca="false">ROUND(AB28-H28,2)</f>
        <v>5479.42</v>
      </c>
      <c r="S28" s="42" t="n">
        <f aca="false">ROUND(AC28-I28,2)</f>
        <v>0</v>
      </c>
      <c r="T28" s="42" t="n">
        <f aca="false">ROUND(AD28-J28,2)</f>
        <v>0</v>
      </c>
      <c r="U28" s="42" t="n">
        <f aca="false">ROUND(AE28-K28,2)</f>
        <v>15331.16</v>
      </c>
      <c r="V28" s="42" t="n">
        <f aca="false">ROUND(AF28-L28,2)</f>
        <v>0</v>
      </c>
      <c r="W28" s="42" t="n">
        <f aca="false">ROUND(AG28-M28,2)</f>
        <v>0</v>
      </c>
      <c r="X28" s="42" t="n">
        <f aca="false">ROUND(AH28-N28,2)</f>
        <v>0</v>
      </c>
      <c r="Y28" s="42" t="n">
        <f aca="false">ROUND(AI28-O28,2)</f>
        <v>0</v>
      </c>
      <c r="Z28" s="56" t="n">
        <f aca="false">ROUND(P27*(1+N(Debts!$D$5)/12),2)</f>
        <v>0</v>
      </c>
      <c r="AA28" s="56" t="n">
        <f aca="false">ROUND(Q27*(1+N(Debts!$D$6)/12),2)</f>
        <v>0</v>
      </c>
      <c r="AB28" s="56" t="n">
        <f aca="false">ROUND(R27*(1+N(Debts!$D$7)/12),2)</f>
        <v>6489.42</v>
      </c>
      <c r="AC28" s="56" t="n">
        <f aca="false">ROUND(S27*(1+N(Debts!$D$8)/12),2)</f>
        <v>0</v>
      </c>
      <c r="AD28" s="56" t="n">
        <f aca="false">ROUND(T27*(1+N(Debts!$D$9)/12),2)</f>
        <v>0</v>
      </c>
      <c r="AE28" s="56" t="n">
        <f aca="false">ROUND(U27*(1+N(Debts!$D$10)/12),2)</f>
        <v>15541.16</v>
      </c>
      <c r="AF28" s="56" t="n">
        <f aca="false">ROUND(V27*(1+N(Debts!$D$11)/12),2)</f>
        <v>0</v>
      </c>
      <c r="AG28" s="56" t="n">
        <f aca="false">ROUND(W27*(1+N(Debts!$D$12)/12),2)</f>
        <v>0</v>
      </c>
      <c r="AH28" s="56" t="n">
        <f aca="false">ROUND(X27*(1+N(Debts!$D$13)/12),2)</f>
        <v>0</v>
      </c>
      <c r="AI28" s="56" t="n">
        <f aca="false">ROUND(Y27*(1+N(Debts!$D$14)/12),2)</f>
        <v>0</v>
      </c>
      <c r="AJ28" s="56" t="n">
        <f aca="false">MIN(Z28,MAX(0,N(Debts!$E$5)))</f>
        <v>0</v>
      </c>
      <c r="AK28" s="56" t="n">
        <f aca="false">MIN(AA28,MAX(0,N(Debts!$E$6)))</f>
        <v>0</v>
      </c>
      <c r="AL28" s="56" t="n">
        <f aca="false">MIN(AB28,MAX(0,N(Debts!$E$7)))</f>
        <v>310</v>
      </c>
      <c r="AM28" s="56" t="n">
        <f aca="false">MIN(AC28,MAX(0,N(Debts!$E$8)))</f>
        <v>0</v>
      </c>
      <c r="AN28" s="56" t="n">
        <f aca="false">MIN(AD28,MAX(0,N(Debts!$E$9)))</f>
        <v>0</v>
      </c>
      <c r="AO28" s="56" t="n">
        <f aca="false">MIN(AE28,MAX(0,N(Debts!$E$10)))</f>
        <v>210</v>
      </c>
      <c r="AP28" s="56" t="n">
        <f aca="false">MIN(AF28,MAX(0,N(Debts!$E$11)))</f>
        <v>0</v>
      </c>
      <c r="AQ28" s="56" t="n">
        <f aca="false">MIN(AG28,MAX(0,N(Debts!$E$12)))</f>
        <v>0</v>
      </c>
      <c r="AR28" s="56" t="n">
        <f aca="false">MIN(AH28,MAX(0,N(Debts!$E$13)))</f>
        <v>0</v>
      </c>
      <c r="AS28" s="56" t="n">
        <f aca="false">MIN(AI28,MAX(0,N(Debts!$E$14)))</f>
        <v>0</v>
      </c>
    </row>
    <row r="29" customFormat="false" ht="15" hidden="false" customHeight="false" outlineLevel="0" collapsed="false">
      <c r="A29" s="53" t="n">
        <v>25</v>
      </c>
      <c r="B29" s="54" t="n">
        <f aca="false">EDATE('Start Here'!$B$8,24)</f>
        <v>47058</v>
      </c>
      <c r="C29" s="42" t="n">
        <f aca="false">SUM(F29:O29)</f>
        <v>1220</v>
      </c>
      <c r="D29" s="42" t="n">
        <f aca="false">ROUND(SUM($Z29:$AI29)-SUM(P28:Y28),2)</f>
        <v>106.34</v>
      </c>
      <c r="E29" s="55" t="n">
        <f aca="false">SUM(P29:Y29)</f>
        <v>19696.92</v>
      </c>
      <c r="F29" s="42" t="n">
        <f aca="false">AJ29+MIN(Z29-AJ29,MAX(0,'Start Here'!$B$10-SUM($AJ29:$AS29)-SUMPRODUCT(($Z$3:$AI$3&lt;Z$3)*($Z29:$AI29-$AJ29:$AS29))))</f>
        <v>0</v>
      </c>
      <c r="G29" s="42" t="n">
        <f aca="false">AK29+MIN(AA29-AK29,MAX(0,'Start Here'!$B$10-SUM($AJ29:$AS29)-SUMPRODUCT(($Z$3:$AI$3&lt;AA$3)*($Z29:$AI29-$AJ29:$AS29))))</f>
        <v>0</v>
      </c>
      <c r="H29" s="42" t="n">
        <f aca="false">AL29+MIN(AB29-AL29,MAX(0,'Start Here'!$B$10-SUM($AJ29:$AS29)-SUMPRODUCT(($Z$3:$AI$3&lt;AB$3)*($Z29:$AI29-$AJ29:$AS29))))</f>
        <v>1010</v>
      </c>
      <c r="I29" s="42" t="n">
        <f aca="false">AM29+MIN(AC29-AM29,MAX(0,'Start Here'!$B$10-SUM($AJ29:$AS29)-SUMPRODUCT(($Z$3:$AI$3&lt;AC$3)*($Z29:$AI29-$AJ29:$AS29))))</f>
        <v>0</v>
      </c>
      <c r="J29" s="42" t="n">
        <f aca="false">AN29+MIN(AD29-AN29,MAX(0,'Start Here'!$B$10-SUM($AJ29:$AS29)-SUMPRODUCT(($Z$3:$AI$3&lt;AD$3)*($Z29:$AI29-$AJ29:$AS29))))</f>
        <v>0</v>
      </c>
      <c r="K29" s="42" t="n">
        <f aca="false">AO29+MIN(AE29-AO29,MAX(0,'Start Here'!$B$10-SUM($AJ29:$AS29)-SUMPRODUCT(($Z$3:$AI$3&lt;AE$3)*($Z29:$AI29-$AJ29:$AS29))))</f>
        <v>210</v>
      </c>
      <c r="L29" s="42" t="n">
        <f aca="false">AP29+MIN(AF29-AP29,MAX(0,'Start Here'!$B$10-SUM($AJ29:$AS29)-SUMPRODUCT(($Z$3:$AI$3&lt;AF$3)*($Z29:$AI29-$AJ29:$AS29))))</f>
        <v>0</v>
      </c>
      <c r="M29" s="42" t="n">
        <f aca="false">AQ29+MIN(AG29-AQ29,MAX(0,'Start Here'!$B$10-SUM($AJ29:$AS29)-SUMPRODUCT(($Z$3:$AI$3&lt;AG$3)*($Z29:$AI29-$AJ29:$AS29))))</f>
        <v>0</v>
      </c>
      <c r="N29" s="42" t="n">
        <f aca="false">AR29+MIN(AH29-AR29,MAX(0,'Start Here'!$B$10-SUM($AJ29:$AS29)-SUMPRODUCT(($Z$3:$AI$3&lt;AH$3)*($Z29:$AI29-$AJ29:$AS29))))</f>
        <v>0</v>
      </c>
      <c r="O29" s="42" t="n">
        <f aca="false">AS29+MIN(AI29-AS29,MAX(0,'Start Here'!$B$10-SUM($AJ29:$AS29)-SUMPRODUCT(($Z$3:$AI$3&lt;AI$3)*($Z29:$AI29-$AJ29:$AS29))))</f>
        <v>0</v>
      </c>
      <c r="P29" s="42" t="n">
        <f aca="false">ROUND(Z29-F29,2)</f>
        <v>0</v>
      </c>
      <c r="Q29" s="42" t="n">
        <f aca="false">ROUND(AA29-G29,2)</f>
        <v>0</v>
      </c>
      <c r="R29" s="42" t="n">
        <f aca="false">ROUND(AB29-H29,2)</f>
        <v>4505.49</v>
      </c>
      <c r="S29" s="42" t="n">
        <f aca="false">ROUND(AC29-I29,2)</f>
        <v>0</v>
      </c>
      <c r="T29" s="42" t="n">
        <f aca="false">ROUND(AD29-J29,2)</f>
        <v>0</v>
      </c>
      <c r="U29" s="42" t="n">
        <f aca="false">ROUND(AE29-K29,2)</f>
        <v>15191.43</v>
      </c>
      <c r="V29" s="42" t="n">
        <f aca="false">ROUND(AF29-L29,2)</f>
        <v>0</v>
      </c>
      <c r="W29" s="42" t="n">
        <f aca="false">ROUND(AG29-M29,2)</f>
        <v>0</v>
      </c>
      <c r="X29" s="42" t="n">
        <f aca="false">ROUND(AH29-N29,2)</f>
        <v>0</v>
      </c>
      <c r="Y29" s="42" t="n">
        <f aca="false">ROUND(AI29-O29,2)</f>
        <v>0</v>
      </c>
      <c r="Z29" s="56" t="n">
        <f aca="false">ROUND(P28*(1+N(Debts!$D$5)/12),2)</f>
        <v>0</v>
      </c>
      <c r="AA29" s="56" t="n">
        <f aca="false">ROUND(Q28*(1+N(Debts!$D$6)/12),2)</f>
        <v>0</v>
      </c>
      <c r="AB29" s="56" t="n">
        <f aca="false">ROUND(R28*(1+N(Debts!$D$7)/12),2)</f>
        <v>5515.49</v>
      </c>
      <c r="AC29" s="56" t="n">
        <f aca="false">ROUND(S28*(1+N(Debts!$D$8)/12),2)</f>
        <v>0</v>
      </c>
      <c r="AD29" s="56" t="n">
        <f aca="false">ROUND(T28*(1+N(Debts!$D$9)/12),2)</f>
        <v>0</v>
      </c>
      <c r="AE29" s="56" t="n">
        <f aca="false">ROUND(U28*(1+N(Debts!$D$10)/12),2)</f>
        <v>15401.43</v>
      </c>
      <c r="AF29" s="56" t="n">
        <f aca="false">ROUND(V28*(1+N(Debts!$D$11)/12),2)</f>
        <v>0</v>
      </c>
      <c r="AG29" s="56" t="n">
        <f aca="false">ROUND(W28*(1+N(Debts!$D$12)/12),2)</f>
        <v>0</v>
      </c>
      <c r="AH29" s="56" t="n">
        <f aca="false">ROUND(X28*(1+N(Debts!$D$13)/12),2)</f>
        <v>0</v>
      </c>
      <c r="AI29" s="56" t="n">
        <f aca="false">ROUND(Y28*(1+N(Debts!$D$14)/12),2)</f>
        <v>0</v>
      </c>
      <c r="AJ29" s="56" t="n">
        <f aca="false">MIN(Z29,MAX(0,N(Debts!$E$5)))</f>
        <v>0</v>
      </c>
      <c r="AK29" s="56" t="n">
        <f aca="false">MIN(AA29,MAX(0,N(Debts!$E$6)))</f>
        <v>0</v>
      </c>
      <c r="AL29" s="56" t="n">
        <f aca="false">MIN(AB29,MAX(0,N(Debts!$E$7)))</f>
        <v>310</v>
      </c>
      <c r="AM29" s="56" t="n">
        <f aca="false">MIN(AC29,MAX(0,N(Debts!$E$8)))</f>
        <v>0</v>
      </c>
      <c r="AN29" s="56" t="n">
        <f aca="false">MIN(AD29,MAX(0,N(Debts!$E$9)))</f>
        <v>0</v>
      </c>
      <c r="AO29" s="56" t="n">
        <f aca="false">MIN(AE29,MAX(0,N(Debts!$E$10)))</f>
        <v>210</v>
      </c>
      <c r="AP29" s="56" t="n">
        <f aca="false">MIN(AF29,MAX(0,N(Debts!$E$11)))</f>
        <v>0</v>
      </c>
      <c r="AQ29" s="56" t="n">
        <f aca="false">MIN(AG29,MAX(0,N(Debts!$E$12)))</f>
        <v>0</v>
      </c>
      <c r="AR29" s="56" t="n">
        <f aca="false">MIN(AH29,MAX(0,N(Debts!$E$13)))</f>
        <v>0</v>
      </c>
      <c r="AS29" s="56" t="n">
        <f aca="false">MIN(AI29,MAX(0,N(Debts!$E$14)))</f>
        <v>0</v>
      </c>
    </row>
    <row r="30" customFormat="false" ht="15" hidden="false" customHeight="false" outlineLevel="0" collapsed="false">
      <c r="A30" s="53" t="n">
        <v>26</v>
      </c>
      <c r="B30" s="54" t="n">
        <f aca="false">EDATE('Start Here'!$B$8,25)</f>
        <v>47088</v>
      </c>
      <c r="C30" s="42" t="n">
        <f aca="false">SUM(F30:O30)</f>
        <v>1220</v>
      </c>
      <c r="D30" s="42" t="n">
        <f aca="false">ROUND(SUM($Z30:$AI30)-SUM(P29:Y29),2)</f>
        <v>99.29</v>
      </c>
      <c r="E30" s="55" t="n">
        <f aca="false">SUM(P30:Y30)</f>
        <v>18576.21</v>
      </c>
      <c r="F30" s="42" t="n">
        <f aca="false">AJ30+MIN(Z30-AJ30,MAX(0,'Start Here'!$B$10-SUM($AJ30:$AS30)-SUMPRODUCT(($Z$3:$AI$3&lt;Z$3)*($Z30:$AI30-$AJ30:$AS30))))</f>
        <v>0</v>
      </c>
      <c r="G30" s="42" t="n">
        <f aca="false">AK30+MIN(AA30-AK30,MAX(0,'Start Here'!$B$10-SUM($AJ30:$AS30)-SUMPRODUCT(($Z$3:$AI$3&lt;AA$3)*($Z30:$AI30-$AJ30:$AS30))))</f>
        <v>0</v>
      </c>
      <c r="H30" s="42" t="n">
        <f aca="false">AL30+MIN(AB30-AL30,MAX(0,'Start Here'!$B$10-SUM($AJ30:$AS30)-SUMPRODUCT(($Z$3:$AI$3&lt;AB$3)*($Z30:$AI30-$AJ30:$AS30))))</f>
        <v>1010</v>
      </c>
      <c r="I30" s="42" t="n">
        <f aca="false">AM30+MIN(AC30-AM30,MAX(0,'Start Here'!$B$10-SUM($AJ30:$AS30)-SUMPRODUCT(($Z$3:$AI$3&lt;AC$3)*($Z30:$AI30-$AJ30:$AS30))))</f>
        <v>0</v>
      </c>
      <c r="J30" s="42" t="n">
        <f aca="false">AN30+MIN(AD30-AN30,MAX(0,'Start Here'!$B$10-SUM($AJ30:$AS30)-SUMPRODUCT(($Z$3:$AI$3&lt;AD$3)*($Z30:$AI30-$AJ30:$AS30))))</f>
        <v>0</v>
      </c>
      <c r="K30" s="42" t="n">
        <f aca="false">AO30+MIN(AE30-AO30,MAX(0,'Start Here'!$B$10-SUM($AJ30:$AS30)-SUMPRODUCT(($Z$3:$AI$3&lt;AE$3)*($Z30:$AI30-$AJ30:$AS30))))</f>
        <v>210</v>
      </c>
      <c r="L30" s="42" t="n">
        <f aca="false">AP30+MIN(AF30-AP30,MAX(0,'Start Here'!$B$10-SUM($AJ30:$AS30)-SUMPRODUCT(($Z$3:$AI$3&lt;AF$3)*($Z30:$AI30-$AJ30:$AS30))))</f>
        <v>0</v>
      </c>
      <c r="M30" s="42" t="n">
        <f aca="false">AQ30+MIN(AG30-AQ30,MAX(0,'Start Here'!$B$10-SUM($AJ30:$AS30)-SUMPRODUCT(($Z$3:$AI$3&lt;AG$3)*($Z30:$AI30-$AJ30:$AS30))))</f>
        <v>0</v>
      </c>
      <c r="N30" s="42" t="n">
        <f aca="false">AR30+MIN(AH30-AR30,MAX(0,'Start Here'!$B$10-SUM($AJ30:$AS30)-SUMPRODUCT(($Z$3:$AI$3&lt;AH$3)*($Z30:$AI30-$AJ30:$AS30))))</f>
        <v>0</v>
      </c>
      <c r="O30" s="42" t="n">
        <f aca="false">AS30+MIN(AI30-AS30,MAX(0,'Start Here'!$B$10-SUM($AJ30:$AS30)-SUMPRODUCT(($Z$3:$AI$3&lt;AI$3)*($Z30:$AI30-$AJ30:$AS30))))</f>
        <v>0</v>
      </c>
      <c r="P30" s="42" t="n">
        <f aca="false">ROUND(Z30-F30,2)</f>
        <v>0</v>
      </c>
      <c r="Q30" s="42" t="n">
        <f aca="false">ROUND(AA30-G30,2)</f>
        <v>0</v>
      </c>
      <c r="R30" s="42" t="n">
        <f aca="false">ROUND(AB30-H30,2)</f>
        <v>3525.15</v>
      </c>
      <c r="S30" s="42" t="n">
        <f aca="false">ROUND(AC30-I30,2)</f>
        <v>0</v>
      </c>
      <c r="T30" s="42" t="n">
        <f aca="false">ROUND(AD30-J30,2)</f>
        <v>0</v>
      </c>
      <c r="U30" s="42" t="n">
        <f aca="false">ROUND(AE30-K30,2)</f>
        <v>15051.06</v>
      </c>
      <c r="V30" s="42" t="n">
        <f aca="false">ROUND(AF30-L30,2)</f>
        <v>0</v>
      </c>
      <c r="W30" s="42" t="n">
        <f aca="false">ROUND(AG30-M30,2)</f>
        <v>0</v>
      </c>
      <c r="X30" s="42" t="n">
        <f aca="false">ROUND(AH30-N30,2)</f>
        <v>0</v>
      </c>
      <c r="Y30" s="42" t="n">
        <f aca="false">ROUND(AI30-O30,2)</f>
        <v>0</v>
      </c>
      <c r="Z30" s="56" t="n">
        <f aca="false">ROUND(P29*(1+N(Debts!$D$5)/12),2)</f>
        <v>0</v>
      </c>
      <c r="AA30" s="56" t="n">
        <f aca="false">ROUND(Q29*(1+N(Debts!$D$6)/12),2)</f>
        <v>0</v>
      </c>
      <c r="AB30" s="56" t="n">
        <f aca="false">ROUND(R29*(1+N(Debts!$D$7)/12),2)</f>
        <v>4535.15</v>
      </c>
      <c r="AC30" s="56" t="n">
        <f aca="false">ROUND(S29*(1+N(Debts!$D$8)/12),2)</f>
        <v>0</v>
      </c>
      <c r="AD30" s="56" t="n">
        <f aca="false">ROUND(T29*(1+N(Debts!$D$9)/12),2)</f>
        <v>0</v>
      </c>
      <c r="AE30" s="56" t="n">
        <f aca="false">ROUND(U29*(1+N(Debts!$D$10)/12),2)</f>
        <v>15261.06</v>
      </c>
      <c r="AF30" s="56" t="n">
        <f aca="false">ROUND(V29*(1+N(Debts!$D$11)/12),2)</f>
        <v>0</v>
      </c>
      <c r="AG30" s="56" t="n">
        <f aca="false">ROUND(W29*(1+N(Debts!$D$12)/12),2)</f>
        <v>0</v>
      </c>
      <c r="AH30" s="56" t="n">
        <f aca="false">ROUND(X29*(1+N(Debts!$D$13)/12),2)</f>
        <v>0</v>
      </c>
      <c r="AI30" s="56" t="n">
        <f aca="false">ROUND(Y29*(1+N(Debts!$D$14)/12),2)</f>
        <v>0</v>
      </c>
      <c r="AJ30" s="56" t="n">
        <f aca="false">MIN(Z30,MAX(0,N(Debts!$E$5)))</f>
        <v>0</v>
      </c>
      <c r="AK30" s="56" t="n">
        <f aca="false">MIN(AA30,MAX(0,N(Debts!$E$6)))</f>
        <v>0</v>
      </c>
      <c r="AL30" s="56" t="n">
        <f aca="false">MIN(AB30,MAX(0,N(Debts!$E$7)))</f>
        <v>310</v>
      </c>
      <c r="AM30" s="56" t="n">
        <f aca="false">MIN(AC30,MAX(0,N(Debts!$E$8)))</f>
        <v>0</v>
      </c>
      <c r="AN30" s="56" t="n">
        <f aca="false">MIN(AD30,MAX(0,N(Debts!$E$9)))</f>
        <v>0</v>
      </c>
      <c r="AO30" s="56" t="n">
        <f aca="false">MIN(AE30,MAX(0,N(Debts!$E$10)))</f>
        <v>210</v>
      </c>
      <c r="AP30" s="56" t="n">
        <f aca="false">MIN(AF30,MAX(0,N(Debts!$E$11)))</f>
        <v>0</v>
      </c>
      <c r="AQ30" s="56" t="n">
        <f aca="false">MIN(AG30,MAX(0,N(Debts!$E$12)))</f>
        <v>0</v>
      </c>
      <c r="AR30" s="56" t="n">
        <f aca="false">MIN(AH30,MAX(0,N(Debts!$E$13)))</f>
        <v>0</v>
      </c>
      <c r="AS30" s="56" t="n">
        <f aca="false">MIN(AI30,MAX(0,N(Debts!$E$14)))</f>
        <v>0</v>
      </c>
    </row>
    <row r="31" customFormat="false" ht="15" hidden="false" customHeight="false" outlineLevel="0" collapsed="false">
      <c r="A31" s="53" t="n">
        <v>27</v>
      </c>
      <c r="B31" s="54" t="n">
        <f aca="false">EDATE('Start Here'!$B$8,26)</f>
        <v>47119</v>
      </c>
      <c r="C31" s="42" t="n">
        <f aca="false">SUM(F31:O31)</f>
        <v>1220</v>
      </c>
      <c r="D31" s="42" t="n">
        <f aca="false">ROUND(SUM($Z31:$AI31)-SUM(P30:Y30),2)</f>
        <v>92.19</v>
      </c>
      <c r="E31" s="55" t="n">
        <f aca="false">SUM(P31:Y31)</f>
        <v>17448.4</v>
      </c>
      <c r="F31" s="42" t="n">
        <f aca="false">AJ31+MIN(Z31-AJ31,MAX(0,'Start Here'!$B$10-SUM($AJ31:$AS31)-SUMPRODUCT(($Z$3:$AI$3&lt;Z$3)*($Z31:$AI31-$AJ31:$AS31))))</f>
        <v>0</v>
      </c>
      <c r="G31" s="42" t="n">
        <f aca="false">AK31+MIN(AA31-AK31,MAX(0,'Start Here'!$B$10-SUM($AJ31:$AS31)-SUMPRODUCT(($Z$3:$AI$3&lt;AA$3)*($Z31:$AI31-$AJ31:$AS31))))</f>
        <v>0</v>
      </c>
      <c r="H31" s="42" t="n">
        <f aca="false">AL31+MIN(AB31-AL31,MAX(0,'Start Here'!$B$10-SUM($AJ31:$AS31)-SUMPRODUCT(($Z$3:$AI$3&lt;AB$3)*($Z31:$AI31-$AJ31:$AS31))))</f>
        <v>1010</v>
      </c>
      <c r="I31" s="42" t="n">
        <f aca="false">AM31+MIN(AC31-AM31,MAX(0,'Start Here'!$B$10-SUM($AJ31:$AS31)-SUMPRODUCT(($Z$3:$AI$3&lt;AC$3)*($Z31:$AI31-$AJ31:$AS31))))</f>
        <v>0</v>
      </c>
      <c r="J31" s="42" t="n">
        <f aca="false">AN31+MIN(AD31-AN31,MAX(0,'Start Here'!$B$10-SUM($AJ31:$AS31)-SUMPRODUCT(($Z$3:$AI$3&lt;AD$3)*($Z31:$AI31-$AJ31:$AS31))))</f>
        <v>0</v>
      </c>
      <c r="K31" s="42" t="n">
        <f aca="false">AO31+MIN(AE31-AO31,MAX(0,'Start Here'!$B$10-SUM($AJ31:$AS31)-SUMPRODUCT(($Z$3:$AI$3&lt;AE$3)*($Z31:$AI31-$AJ31:$AS31))))</f>
        <v>210</v>
      </c>
      <c r="L31" s="42" t="n">
        <f aca="false">AP31+MIN(AF31-AP31,MAX(0,'Start Here'!$B$10-SUM($AJ31:$AS31)-SUMPRODUCT(($Z$3:$AI$3&lt;AF$3)*($Z31:$AI31-$AJ31:$AS31))))</f>
        <v>0</v>
      </c>
      <c r="M31" s="42" t="n">
        <f aca="false">AQ31+MIN(AG31-AQ31,MAX(0,'Start Here'!$B$10-SUM($AJ31:$AS31)-SUMPRODUCT(($Z$3:$AI$3&lt;AG$3)*($Z31:$AI31-$AJ31:$AS31))))</f>
        <v>0</v>
      </c>
      <c r="N31" s="42" t="n">
        <f aca="false">AR31+MIN(AH31-AR31,MAX(0,'Start Here'!$B$10-SUM($AJ31:$AS31)-SUMPRODUCT(($Z$3:$AI$3&lt;AH$3)*($Z31:$AI31-$AJ31:$AS31))))</f>
        <v>0</v>
      </c>
      <c r="O31" s="42" t="n">
        <f aca="false">AS31+MIN(AI31-AS31,MAX(0,'Start Here'!$B$10-SUM($AJ31:$AS31)-SUMPRODUCT(($Z$3:$AI$3&lt;AI$3)*($Z31:$AI31-$AJ31:$AS31))))</f>
        <v>0</v>
      </c>
      <c r="P31" s="42" t="n">
        <f aca="false">ROUND(Z31-F31,2)</f>
        <v>0</v>
      </c>
      <c r="Q31" s="42" t="n">
        <f aca="false">ROUND(AA31-G31,2)</f>
        <v>0</v>
      </c>
      <c r="R31" s="42" t="n">
        <f aca="false">ROUND(AB31-H31,2)</f>
        <v>2538.36</v>
      </c>
      <c r="S31" s="42" t="n">
        <f aca="false">ROUND(AC31-I31,2)</f>
        <v>0</v>
      </c>
      <c r="T31" s="42" t="n">
        <f aca="false">ROUND(AD31-J31,2)</f>
        <v>0</v>
      </c>
      <c r="U31" s="42" t="n">
        <f aca="false">ROUND(AE31-K31,2)</f>
        <v>14910.04</v>
      </c>
      <c r="V31" s="42" t="n">
        <f aca="false">ROUND(AF31-L31,2)</f>
        <v>0</v>
      </c>
      <c r="W31" s="42" t="n">
        <f aca="false">ROUND(AG31-M31,2)</f>
        <v>0</v>
      </c>
      <c r="X31" s="42" t="n">
        <f aca="false">ROUND(AH31-N31,2)</f>
        <v>0</v>
      </c>
      <c r="Y31" s="42" t="n">
        <f aca="false">ROUND(AI31-O31,2)</f>
        <v>0</v>
      </c>
      <c r="Z31" s="56" t="n">
        <f aca="false">ROUND(P30*(1+N(Debts!$D$5)/12),2)</f>
        <v>0</v>
      </c>
      <c r="AA31" s="56" t="n">
        <f aca="false">ROUND(Q30*(1+N(Debts!$D$6)/12),2)</f>
        <v>0</v>
      </c>
      <c r="AB31" s="56" t="n">
        <f aca="false">ROUND(R30*(1+N(Debts!$D$7)/12),2)</f>
        <v>3548.36</v>
      </c>
      <c r="AC31" s="56" t="n">
        <f aca="false">ROUND(S30*(1+N(Debts!$D$8)/12),2)</f>
        <v>0</v>
      </c>
      <c r="AD31" s="56" t="n">
        <f aca="false">ROUND(T30*(1+N(Debts!$D$9)/12),2)</f>
        <v>0</v>
      </c>
      <c r="AE31" s="56" t="n">
        <f aca="false">ROUND(U30*(1+N(Debts!$D$10)/12),2)</f>
        <v>15120.04</v>
      </c>
      <c r="AF31" s="56" t="n">
        <f aca="false">ROUND(V30*(1+N(Debts!$D$11)/12),2)</f>
        <v>0</v>
      </c>
      <c r="AG31" s="56" t="n">
        <f aca="false">ROUND(W30*(1+N(Debts!$D$12)/12),2)</f>
        <v>0</v>
      </c>
      <c r="AH31" s="56" t="n">
        <f aca="false">ROUND(X30*(1+N(Debts!$D$13)/12),2)</f>
        <v>0</v>
      </c>
      <c r="AI31" s="56" t="n">
        <f aca="false">ROUND(Y30*(1+N(Debts!$D$14)/12),2)</f>
        <v>0</v>
      </c>
      <c r="AJ31" s="56" t="n">
        <f aca="false">MIN(Z31,MAX(0,N(Debts!$E$5)))</f>
        <v>0</v>
      </c>
      <c r="AK31" s="56" t="n">
        <f aca="false">MIN(AA31,MAX(0,N(Debts!$E$6)))</f>
        <v>0</v>
      </c>
      <c r="AL31" s="56" t="n">
        <f aca="false">MIN(AB31,MAX(0,N(Debts!$E$7)))</f>
        <v>310</v>
      </c>
      <c r="AM31" s="56" t="n">
        <f aca="false">MIN(AC31,MAX(0,N(Debts!$E$8)))</f>
        <v>0</v>
      </c>
      <c r="AN31" s="56" t="n">
        <f aca="false">MIN(AD31,MAX(0,N(Debts!$E$9)))</f>
        <v>0</v>
      </c>
      <c r="AO31" s="56" t="n">
        <f aca="false">MIN(AE31,MAX(0,N(Debts!$E$10)))</f>
        <v>210</v>
      </c>
      <c r="AP31" s="56" t="n">
        <f aca="false">MIN(AF31,MAX(0,N(Debts!$E$11)))</f>
        <v>0</v>
      </c>
      <c r="AQ31" s="56" t="n">
        <f aca="false">MIN(AG31,MAX(0,N(Debts!$E$12)))</f>
        <v>0</v>
      </c>
      <c r="AR31" s="56" t="n">
        <f aca="false">MIN(AH31,MAX(0,N(Debts!$E$13)))</f>
        <v>0</v>
      </c>
      <c r="AS31" s="56" t="n">
        <f aca="false">MIN(AI31,MAX(0,N(Debts!$E$14)))</f>
        <v>0</v>
      </c>
    </row>
    <row r="32" customFormat="false" ht="15" hidden="false" customHeight="false" outlineLevel="0" collapsed="false">
      <c r="A32" s="53" t="n">
        <v>28</v>
      </c>
      <c r="B32" s="54" t="n">
        <f aca="false">EDATE('Start Here'!$B$8,27)</f>
        <v>47150</v>
      </c>
      <c r="C32" s="42" t="n">
        <f aca="false">SUM(F32:O32)</f>
        <v>1220</v>
      </c>
      <c r="D32" s="42" t="n">
        <f aca="false">ROUND(SUM($Z32:$AI32)-SUM(P31:Y31),2)</f>
        <v>85.05</v>
      </c>
      <c r="E32" s="55" t="n">
        <f aca="false">SUM(P32:Y32)</f>
        <v>16313.45</v>
      </c>
      <c r="F32" s="42" t="n">
        <f aca="false">AJ32+MIN(Z32-AJ32,MAX(0,'Start Here'!$B$10-SUM($AJ32:$AS32)-SUMPRODUCT(($Z$3:$AI$3&lt;Z$3)*($Z32:$AI32-$AJ32:$AS32))))</f>
        <v>0</v>
      </c>
      <c r="G32" s="42" t="n">
        <f aca="false">AK32+MIN(AA32-AK32,MAX(0,'Start Here'!$B$10-SUM($AJ32:$AS32)-SUMPRODUCT(($Z$3:$AI$3&lt;AA$3)*($Z32:$AI32-$AJ32:$AS32))))</f>
        <v>0</v>
      </c>
      <c r="H32" s="42" t="n">
        <f aca="false">AL32+MIN(AB32-AL32,MAX(0,'Start Here'!$B$10-SUM($AJ32:$AS32)-SUMPRODUCT(($Z$3:$AI$3&lt;AB$3)*($Z32:$AI32-$AJ32:$AS32))))</f>
        <v>1010</v>
      </c>
      <c r="I32" s="42" t="n">
        <f aca="false">AM32+MIN(AC32-AM32,MAX(0,'Start Here'!$B$10-SUM($AJ32:$AS32)-SUMPRODUCT(($Z$3:$AI$3&lt;AC$3)*($Z32:$AI32-$AJ32:$AS32))))</f>
        <v>0</v>
      </c>
      <c r="J32" s="42" t="n">
        <f aca="false">AN32+MIN(AD32-AN32,MAX(0,'Start Here'!$B$10-SUM($AJ32:$AS32)-SUMPRODUCT(($Z$3:$AI$3&lt;AD$3)*($Z32:$AI32-$AJ32:$AS32))))</f>
        <v>0</v>
      </c>
      <c r="K32" s="42" t="n">
        <f aca="false">AO32+MIN(AE32-AO32,MAX(0,'Start Here'!$B$10-SUM($AJ32:$AS32)-SUMPRODUCT(($Z$3:$AI$3&lt;AE$3)*($Z32:$AI32-$AJ32:$AS32))))</f>
        <v>210</v>
      </c>
      <c r="L32" s="42" t="n">
        <f aca="false">AP32+MIN(AF32-AP32,MAX(0,'Start Here'!$B$10-SUM($AJ32:$AS32)-SUMPRODUCT(($Z$3:$AI$3&lt;AF$3)*($Z32:$AI32-$AJ32:$AS32))))</f>
        <v>0</v>
      </c>
      <c r="M32" s="42" t="n">
        <f aca="false">AQ32+MIN(AG32-AQ32,MAX(0,'Start Here'!$B$10-SUM($AJ32:$AS32)-SUMPRODUCT(($Z$3:$AI$3&lt;AG$3)*($Z32:$AI32-$AJ32:$AS32))))</f>
        <v>0</v>
      </c>
      <c r="N32" s="42" t="n">
        <f aca="false">AR32+MIN(AH32-AR32,MAX(0,'Start Here'!$B$10-SUM($AJ32:$AS32)-SUMPRODUCT(($Z$3:$AI$3&lt;AH$3)*($Z32:$AI32-$AJ32:$AS32))))</f>
        <v>0</v>
      </c>
      <c r="O32" s="42" t="n">
        <f aca="false">AS32+MIN(AI32-AS32,MAX(0,'Start Here'!$B$10-SUM($AJ32:$AS32)-SUMPRODUCT(($Z$3:$AI$3&lt;AI$3)*($Z32:$AI32-$AJ32:$AS32))))</f>
        <v>0</v>
      </c>
      <c r="P32" s="42" t="n">
        <f aca="false">ROUND(Z32-F32,2)</f>
        <v>0</v>
      </c>
      <c r="Q32" s="42" t="n">
        <f aca="false">ROUND(AA32-G32,2)</f>
        <v>0</v>
      </c>
      <c r="R32" s="42" t="n">
        <f aca="false">ROUND(AB32-H32,2)</f>
        <v>1545.07</v>
      </c>
      <c r="S32" s="42" t="n">
        <f aca="false">ROUND(AC32-I32,2)</f>
        <v>0</v>
      </c>
      <c r="T32" s="42" t="n">
        <f aca="false">ROUND(AD32-J32,2)</f>
        <v>0</v>
      </c>
      <c r="U32" s="42" t="n">
        <f aca="false">ROUND(AE32-K32,2)</f>
        <v>14768.38</v>
      </c>
      <c r="V32" s="42" t="n">
        <f aca="false">ROUND(AF32-L32,2)</f>
        <v>0</v>
      </c>
      <c r="W32" s="42" t="n">
        <f aca="false">ROUND(AG32-M32,2)</f>
        <v>0</v>
      </c>
      <c r="X32" s="42" t="n">
        <f aca="false">ROUND(AH32-N32,2)</f>
        <v>0</v>
      </c>
      <c r="Y32" s="42" t="n">
        <f aca="false">ROUND(AI32-O32,2)</f>
        <v>0</v>
      </c>
      <c r="Z32" s="56" t="n">
        <f aca="false">ROUND(P31*(1+N(Debts!$D$5)/12),2)</f>
        <v>0</v>
      </c>
      <c r="AA32" s="56" t="n">
        <f aca="false">ROUND(Q31*(1+N(Debts!$D$6)/12),2)</f>
        <v>0</v>
      </c>
      <c r="AB32" s="56" t="n">
        <f aca="false">ROUND(R31*(1+N(Debts!$D$7)/12),2)</f>
        <v>2555.07</v>
      </c>
      <c r="AC32" s="56" t="n">
        <f aca="false">ROUND(S31*(1+N(Debts!$D$8)/12),2)</f>
        <v>0</v>
      </c>
      <c r="AD32" s="56" t="n">
        <f aca="false">ROUND(T31*(1+N(Debts!$D$9)/12),2)</f>
        <v>0</v>
      </c>
      <c r="AE32" s="56" t="n">
        <f aca="false">ROUND(U31*(1+N(Debts!$D$10)/12),2)</f>
        <v>14978.38</v>
      </c>
      <c r="AF32" s="56" t="n">
        <f aca="false">ROUND(V31*(1+N(Debts!$D$11)/12),2)</f>
        <v>0</v>
      </c>
      <c r="AG32" s="56" t="n">
        <f aca="false">ROUND(W31*(1+N(Debts!$D$12)/12),2)</f>
        <v>0</v>
      </c>
      <c r="AH32" s="56" t="n">
        <f aca="false">ROUND(X31*(1+N(Debts!$D$13)/12),2)</f>
        <v>0</v>
      </c>
      <c r="AI32" s="56" t="n">
        <f aca="false">ROUND(Y31*(1+N(Debts!$D$14)/12),2)</f>
        <v>0</v>
      </c>
      <c r="AJ32" s="56" t="n">
        <f aca="false">MIN(Z32,MAX(0,N(Debts!$E$5)))</f>
        <v>0</v>
      </c>
      <c r="AK32" s="56" t="n">
        <f aca="false">MIN(AA32,MAX(0,N(Debts!$E$6)))</f>
        <v>0</v>
      </c>
      <c r="AL32" s="56" t="n">
        <f aca="false">MIN(AB32,MAX(0,N(Debts!$E$7)))</f>
        <v>310</v>
      </c>
      <c r="AM32" s="56" t="n">
        <f aca="false">MIN(AC32,MAX(0,N(Debts!$E$8)))</f>
        <v>0</v>
      </c>
      <c r="AN32" s="56" t="n">
        <f aca="false">MIN(AD32,MAX(0,N(Debts!$E$9)))</f>
        <v>0</v>
      </c>
      <c r="AO32" s="56" t="n">
        <f aca="false">MIN(AE32,MAX(0,N(Debts!$E$10)))</f>
        <v>210</v>
      </c>
      <c r="AP32" s="56" t="n">
        <f aca="false">MIN(AF32,MAX(0,N(Debts!$E$11)))</f>
        <v>0</v>
      </c>
      <c r="AQ32" s="56" t="n">
        <f aca="false">MIN(AG32,MAX(0,N(Debts!$E$12)))</f>
        <v>0</v>
      </c>
      <c r="AR32" s="56" t="n">
        <f aca="false">MIN(AH32,MAX(0,N(Debts!$E$13)))</f>
        <v>0</v>
      </c>
      <c r="AS32" s="56" t="n">
        <f aca="false">MIN(AI32,MAX(0,N(Debts!$E$14)))</f>
        <v>0</v>
      </c>
    </row>
    <row r="33" customFormat="false" ht="15" hidden="false" customHeight="false" outlineLevel="0" collapsed="false">
      <c r="A33" s="53" t="n">
        <v>29</v>
      </c>
      <c r="B33" s="54" t="n">
        <f aca="false">EDATE('Start Here'!$B$8,28)</f>
        <v>47178</v>
      </c>
      <c r="C33" s="42" t="n">
        <f aca="false">SUM(F33:O33)</f>
        <v>1220</v>
      </c>
      <c r="D33" s="42" t="n">
        <f aca="false">ROUND(SUM($Z33:$AI33)-SUM(P32:Y32),2)</f>
        <v>77.86</v>
      </c>
      <c r="E33" s="55" t="n">
        <f aca="false">SUM(P33:Y33)</f>
        <v>15171.31</v>
      </c>
      <c r="F33" s="42" t="n">
        <f aca="false">AJ33+MIN(Z33-AJ33,MAX(0,'Start Here'!$B$10-SUM($AJ33:$AS33)-SUMPRODUCT(($Z$3:$AI$3&lt;Z$3)*($Z33:$AI33-$AJ33:$AS33))))</f>
        <v>0</v>
      </c>
      <c r="G33" s="42" t="n">
        <f aca="false">AK33+MIN(AA33-AK33,MAX(0,'Start Here'!$B$10-SUM($AJ33:$AS33)-SUMPRODUCT(($Z$3:$AI$3&lt;AA$3)*($Z33:$AI33-$AJ33:$AS33))))</f>
        <v>0</v>
      </c>
      <c r="H33" s="42" t="n">
        <f aca="false">AL33+MIN(AB33-AL33,MAX(0,'Start Here'!$B$10-SUM($AJ33:$AS33)-SUMPRODUCT(($Z$3:$AI$3&lt;AB$3)*($Z33:$AI33-$AJ33:$AS33))))</f>
        <v>1010</v>
      </c>
      <c r="I33" s="42" t="n">
        <f aca="false">AM33+MIN(AC33-AM33,MAX(0,'Start Here'!$B$10-SUM($AJ33:$AS33)-SUMPRODUCT(($Z$3:$AI$3&lt;AC$3)*($Z33:$AI33-$AJ33:$AS33))))</f>
        <v>0</v>
      </c>
      <c r="J33" s="42" t="n">
        <f aca="false">AN33+MIN(AD33-AN33,MAX(0,'Start Here'!$B$10-SUM($AJ33:$AS33)-SUMPRODUCT(($Z$3:$AI$3&lt;AD$3)*($Z33:$AI33-$AJ33:$AS33))))</f>
        <v>0</v>
      </c>
      <c r="K33" s="42" t="n">
        <f aca="false">AO33+MIN(AE33-AO33,MAX(0,'Start Here'!$B$10-SUM($AJ33:$AS33)-SUMPRODUCT(($Z$3:$AI$3&lt;AE$3)*($Z33:$AI33-$AJ33:$AS33))))</f>
        <v>210</v>
      </c>
      <c r="L33" s="42" t="n">
        <f aca="false">AP33+MIN(AF33-AP33,MAX(0,'Start Here'!$B$10-SUM($AJ33:$AS33)-SUMPRODUCT(($Z$3:$AI$3&lt;AF$3)*($Z33:$AI33-$AJ33:$AS33))))</f>
        <v>0</v>
      </c>
      <c r="M33" s="42" t="n">
        <f aca="false">AQ33+MIN(AG33-AQ33,MAX(0,'Start Here'!$B$10-SUM($AJ33:$AS33)-SUMPRODUCT(($Z$3:$AI$3&lt;AG$3)*($Z33:$AI33-$AJ33:$AS33))))</f>
        <v>0</v>
      </c>
      <c r="N33" s="42" t="n">
        <f aca="false">AR33+MIN(AH33-AR33,MAX(0,'Start Here'!$B$10-SUM($AJ33:$AS33)-SUMPRODUCT(($Z$3:$AI$3&lt;AH$3)*($Z33:$AI33-$AJ33:$AS33))))</f>
        <v>0</v>
      </c>
      <c r="O33" s="42" t="n">
        <f aca="false">AS33+MIN(AI33-AS33,MAX(0,'Start Here'!$B$10-SUM($AJ33:$AS33)-SUMPRODUCT(($Z$3:$AI$3&lt;AI$3)*($Z33:$AI33-$AJ33:$AS33))))</f>
        <v>0</v>
      </c>
      <c r="P33" s="42" t="n">
        <f aca="false">ROUND(Z33-F33,2)</f>
        <v>0</v>
      </c>
      <c r="Q33" s="42" t="n">
        <f aca="false">ROUND(AA33-G33,2)</f>
        <v>0</v>
      </c>
      <c r="R33" s="42" t="n">
        <f aca="false">ROUND(AB33-H33,2)</f>
        <v>545.24</v>
      </c>
      <c r="S33" s="42" t="n">
        <f aca="false">ROUND(AC33-I33,2)</f>
        <v>0</v>
      </c>
      <c r="T33" s="42" t="n">
        <f aca="false">ROUND(AD33-J33,2)</f>
        <v>0</v>
      </c>
      <c r="U33" s="42" t="n">
        <f aca="false">ROUND(AE33-K33,2)</f>
        <v>14626.07</v>
      </c>
      <c r="V33" s="42" t="n">
        <f aca="false">ROUND(AF33-L33,2)</f>
        <v>0</v>
      </c>
      <c r="W33" s="42" t="n">
        <f aca="false">ROUND(AG33-M33,2)</f>
        <v>0</v>
      </c>
      <c r="X33" s="42" t="n">
        <f aca="false">ROUND(AH33-N33,2)</f>
        <v>0</v>
      </c>
      <c r="Y33" s="42" t="n">
        <f aca="false">ROUND(AI33-O33,2)</f>
        <v>0</v>
      </c>
      <c r="Z33" s="56" t="n">
        <f aca="false">ROUND(P32*(1+N(Debts!$D$5)/12),2)</f>
        <v>0</v>
      </c>
      <c r="AA33" s="56" t="n">
        <f aca="false">ROUND(Q32*(1+N(Debts!$D$6)/12),2)</f>
        <v>0</v>
      </c>
      <c r="AB33" s="56" t="n">
        <f aca="false">ROUND(R32*(1+N(Debts!$D$7)/12),2)</f>
        <v>1555.24</v>
      </c>
      <c r="AC33" s="56" t="n">
        <f aca="false">ROUND(S32*(1+N(Debts!$D$8)/12),2)</f>
        <v>0</v>
      </c>
      <c r="AD33" s="56" t="n">
        <f aca="false">ROUND(T32*(1+N(Debts!$D$9)/12),2)</f>
        <v>0</v>
      </c>
      <c r="AE33" s="56" t="n">
        <f aca="false">ROUND(U32*(1+N(Debts!$D$10)/12),2)</f>
        <v>14836.07</v>
      </c>
      <c r="AF33" s="56" t="n">
        <f aca="false">ROUND(V32*(1+N(Debts!$D$11)/12),2)</f>
        <v>0</v>
      </c>
      <c r="AG33" s="56" t="n">
        <f aca="false">ROUND(W32*(1+N(Debts!$D$12)/12),2)</f>
        <v>0</v>
      </c>
      <c r="AH33" s="56" t="n">
        <f aca="false">ROUND(X32*(1+N(Debts!$D$13)/12),2)</f>
        <v>0</v>
      </c>
      <c r="AI33" s="56" t="n">
        <f aca="false">ROUND(Y32*(1+N(Debts!$D$14)/12),2)</f>
        <v>0</v>
      </c>
      <c r="AJ33" s="56" t="n">
        <f aca="false">MIN(Z33,MAX(0,N(Debts!$E$5)))</f>
        <v>0</v>
      </c>
      <c r="AK33" s="56" t="n">
        <f aca="false">MIN(AA33,MAX(0,N(Debts!$E$6)))</f>
        <v>0</v>
      </c>
      <c r="AL33" s="56" t="n">
        <f aca="false">MIN(AB33,MAX(0,N(Debts!$E$7)))</f>
        <v>310</v>
      </c>
      <c r="AM33" s="56" t="n">
        <f aca="false">MIN(AC33,MAX(0,N(Debts!$E$8)))</f>
        <v>0</v>
      </c>
      <c r="AN33" s="56" t="n">
        <f aca="false">MIN(AD33,MAX(0,N(Debts!$E$9)))</f>
        <v>0</v>
      </c>
      <c r="AO33" s="56" t="n">
        <f aca="false">MIN(AE33,MAX(0,N(Debts!$E$10)))</f>
        <v>210</v>
      </c>
      <c r="AP33" s="56" t="n">
        <f aca="false">MIN(AF33,MAX(0,N(Debts!$E$11)))</f>
        <v>0</v>
      </c>
      <c r="AQ33" s="56" t="n">
        <f aca="false">MIN(AG33,MAX(0,N(Debts!$E$12)))</f>
        <v>0</v>
      </c>
      <c r="AR33" s="56" t="n">
        <f aca="false">MIN(AH33,MAX(0,N(Debts!$E$13)))</f>
        <v>0</v>
      </c>
      <c r="AS33" s="56" t="n">
        <f aca="false">MIN(AI33,MAX(0,N(Debts!$E$14)))</f>
        <v>0</v>
      </c>
    </row>
    <row r="34" customFormat="false" ht="15" hidden="false" customHeight="false" outlineLevel="0" collapsed="false">
      <c r="A34" s="53" t="n">
        <v>30</v>
      </c>
      <c r="B34" s="54" t="n">
        <f aca="false">EDATE('Start Here'!$B$8,29)</f>
        <v>47209</v>
      </c>
      <c r="C34" s="42" t="n">
        <f aca="false">SUM(F34:O34)</f>
        <v>1220</v>
      </c>
      <c r="D34" s="42" t="n">
        <f aca="false">ROUND(SUM($Z34:$AI34)-SUM(P33:Y33),2)</f>
        <v>70.63</v>
      </c>
      <c r="E34" s="55" t="n">
        <f aca="false">SUM(P34:Y34)</f>
        <v>14021.94</v>
      </c>
      <c r="F34" s="42" t="n">
        <f aca="false">AJ34+MIN(Z34-AJ34,MAX(0,'Start Here'!$B$10-SUM($AJ34:$AS34)-SUMPRODUCT(($Z$3:$AI$3&lt;Z$3)*($Z34:$AI34-$AJ34:$AS34))))</f>
        <v>0</v>
      </c>
      <c r="G34" s="42" t="n">
        <f aca="false">AK34+MIN(AA34-AK34,MAX(0,'Start Here'!$B$10-SUM($AJ34:$AS34)-SUMPRODUCT(($Z$3:$AI$3&lt;AA$3)*($Z34:$AI34-$AJ34:$AS34))))</f>
        <v>0</v>
      </c>
      <c r="H34" s="42" t="n">
        <f aca="false">AL34+MIN(AB34-AL34,MAX(0,'Start Here'!$B$10-SUM($AJ34:$AS34)-SUMPRODUCT(($Z$3:$AI$3&lt;AB$3)*($Z34:$AI34-$AJ34:$AS34))))</f>
        <v>548.83</v>
      </c>
      <c r="I34" s="42" t="n">
        <f aca="false">AM34+MIN(AC34-AM34,MAX(0,'Start Here'!$B$10-SUM($AJ34:$AS34)-SUMPRODUCT(($Z$3:$AI$3&lt;AC$3)*($Z34:$AI34-$AJ34:$AS34))))</f>
        <v>0</v>
      </c>
      <c r="J34" s="42" t="n">
        <f aca="false">AN34+MIN(AD34-AN34,MAX(0,'Start Here'!$B$10-SUM($AJ34:$AS34)-SUMPRODUCT(($Z$3:$AI$3&lt;AD$3)*($Z34:$AI34-$AJ34:$AS34))))</f>
        <v>0</v>
      </c>
      <c r="K34" s="42" t="n">
        <f aca="false">AO34+MIN(AE34-AO34,MAX(0,'Start Here'!$B$10-SUM($AJ34:$AS34)-SUMPRODUCT(($Z$3:$AI$3&lt;AE$3)*($Z34:$AI34-$AJ34:$AS34))))</f>
        <v>671.17</v>
      </c>
      <c r="L34" s="42" t="n">
        <f aca="false">AP34+MIN(AF34-AP34,MAX(0,'Start Here'!$B$10-SUM($AJ34:$AS34)-SUMPRODUCT(($Z$3:$AI$3&lt;AF$3)*($Z34:$AI34-$AJ34:$AS34))))</f>
        <v>0</v>
      </c>
      <c r="M34" s="42" t="n">
        <f aca="false">AQ34+MIN(AG34-AQ34,MAX(0,'Start Here'!$B$10-SUM($AJ34:$AS34)-SUMPRODUCT(($Z$3:$AI$3&lt;AG$3)*($Z34:$AI34-$AJ34:$AS34))))</f>
        <v>0</v>
      </c>
      <c r="N34" s="42" t="n">
        <f aca="false">AR34+MIN(AH34-AR34,MAX(0,'Start Here'!$B$10-SUM($AJ34:$AS34)-SUMPRODUCT(($Z$3:$AI$3&lt;AH$3)*($Z34:$AI34-$AJ34:$AS34))))</f>
        <v>0</v>
      </c>
      <c r="O34" s="42" t="n">
        <f aca="false">AS34+MIN(AI34-AS34,MAX(0,'Start Here'!$B$10-SUM($AJ34:$AS34)-SUMPRODUCT(($Z$3:$AI$3&lt;AI$3)*($Z34:$AI34-$AJ34:$AS34))))</f>
        <v>0</v>
      </c>
      <c r="P34" s="42" t="n">
        <f aca="false">ROUND(Z34-F34,2)</f>
        <v>0</v>
      </c>
      <c r="Q34" s="42" t="n">
        <f aca="false">ROUND(AA34-G34,2)</f>
        <v>0</v>
      </c>
      <c r="R34" s="42" t="n">
        <f aca="false">ROUND(AB34-H34,2)</f>
        <v>0</v>
      </c>
      <c r="S34" s="42" t="n">
        <f aca="false">ROUND(AC34-I34,2)</f>
        <v>0</v>
      </c>
      <c r="T34" s="42" t="n">
        <f aca="false">ROUND(AD34-J34,2)</f>
        <v>0</v>
      </c>
      <c r="U34" s="42" t="n">
        <f aca="false">ROUND(AE34-K34,2)</f>
        <v>14021.94</v>
      </c>
      <c r="V34" s="42" t="n">
        <f aca="false">ROUND(AF34-L34,2)</f>
        <v>0</v>
      </c>
      <c r="W34" s="42" t="n">
        <f aca="false">ROUND(AG34-M34,2)</f>
        <v>0</v>
      </c>
      <c r="X34" s="42" t="n">
        <f aca="false">ROUND(AH34-N34,2)</f>
        <v>0</v>
      </c>
      <c r="Y34" s="42" t="n">
        <f aca="false">ROUND(AI34-O34,2)</f>
        <v>0</v>
      </c>
      <c r="Z34" s="56" t="n">
        <f aca="false">ROUND(P33*(1+N(Debts!$D$5)/12),2)</f>
        <v>0</v>
      </c>
      <c r="AA34" s="56" t="n">
        <f aca="false">ROUND(Q33*(1+N(Debts!$D$6)/12),2)</f>
        <v>0</v>
      </c>
      <c r="AB34" s="56" t="n">
        <f aca="false">ROUND(R33*(1+N(Debts!$D$7)/12),2)</f>
        <v>548.83</v>
      </c>
      <c r="AC34" s="56" t="n">
        <f aca="false">ROUND(S33*(1+N(Debts!$D$8)/12),2)</f>
        <v>0</v>
      </c>
      <c r="AD34" s="56" t="n">
        <f aca="false">ROUND(T33*(1+N(Debts!$D$9)/12),2)</f>
        <v>0</v>
      </c>
      <c r="AE34" s="56" t="n">
        <f aca="false">ROUND(U33*(1+N(Debts!$D$10)/12),2)</f>
        <v>14693.11</v>
      </c>
      <c r="AF34" s="56" t="n">
        <f aca="false">ROUND(V33*(1+N(Debts!$D$11)/12),2)</f>
        <v>0</v>
      </c>
      <c r="AG34" s="56" t="n">
        <f aca="false">ROUND(W33*(1+N(Debts!$D$12)/12),2)</f>
        <v>0</v>
      </c>
      <c r="AH34" s="56" t="n">
        <f aca="false">ROUND(X33*(1+N(Debts!$D$13)/12),2)</f>
        <v>0</v>
      </c>
      <c r="AI34" s="56" t="n">
        <f aca="false">ROUND(Y33*(1+N(Debts!$D$14)/12),2)</f>
        <v>0</v>
      </c>
      <c r="AJ34" s="56" t="n">
        <f aca="false">MIN(Z34,MAX(0,N(Debts!$E$5)))</f>
        <v>0</v>
      </c>
      <c r="AK34" s="56" t="n">
        <f aca="false">MIN(AA34,MAX(0,N(Debts!$E$6)))</f>
        <v>0</v>
      </c>
      <c r="AL34" s="56" t="n">
        <f aca="false">MIN(AB34,MAX(0,N(Debts!$E$7)))</f>
        <v>310</v>
      </c>
      <c r="AM34" s="56" t="n">
        <f aca="false">MIN(AC34,MAX(0,N(Debts!$E$8)))</f>
        <v>0</v>
      </c>
      <c r="AN34" s="56" t="n">
        <f aca="false">MIN(AD34,MAX(0,N(Debts!$E$9)))</f>
        <v>0</v>
      </c>
      <c r="AO34" s="56" t="n">
        <f aca="false">MIN(AE34,MAX(0,N(Debts!$E$10)))</f>
        <v>210</v>
      </c>
      <c r="AP34" s="56" t="n">
        <f aca="false">MIN(AF34,MAX(0,N(Debts!$E$11)))</f>
        <v>0</v>
      </c>
      <c r="AQ34" s="56" t="n">
        <f aca="false">MIN(AG34,MAX(0,N(Debts!$E$12)))</f>
        <v>0</v>
      </c>
      <c r="AR34" s="56" t="n">
        <f aca="false">MIN(AH34,MAX(0,N(Debts!$E$13)))</f>
        <v>0</v>
      </c>
      <c r="AS34" s="56" t="n">
        <f aca="false">MIN(AI34,MAX(0,N(Debts!$E$14)))</f>
        <v>0</v>
      </c>
    </row>
    <row r="35" customFormat="false" ht="15" hidden="false" customHeight="false" outlineLevel="0" collapsed="false">
      <c r="A35" s="53" t="n">
        <v>31</v>
      </c>
      <c r="B35" s="54" t="n">
        <f aca="false">EDATE('Start Here'!$B$8,30)</f>
        <v>47239</v>
      </c>
      <c r="C35" s="42" t="n">
        <f aca="false">SUM(F35:O35)</f>
        <v>1220</v>
      </c>
      <c r="D35" s="42" t="n">
        <f aca="false">ROUND(SUM($Z35:$AI35)-SUM(P34:Y34),2)</f>
        <v>64.27</v>
      </c>
      <c r="E35" s="55" t="n">
        <f aca="false">SUM(P35:Y35)</f>
        <v>12866.21</v>
      </c>
      <c r="F35" s="42" t="n">
        <f aca="false">AJ35+MIN(Z35-AJ35,MAX(0,'Start Here'!$B$10-SUM($AJ35:$AS35)-SUMPRODUCT(($Z$3:$AI$3&lt;Z$3)*($Z35:$AI35-$AJ35:$AS35))))</f>
        <v>0</v>
      </c>
      <c r="G35" s="42" t="n">
        <f aca="false">AK35+MIN(AA35-AK35,MAX(0,'Start Here'!$B$10-SUM($AJ35:$AS35)-SUMPRODUCT(($Z$3:$AI$3&lt;AA$3)*($Z35:$AI35-$AJ35:$AS35))))</f>
        <v>0</v>
      </c>
      <c r="H35" s="42" t="n">
        <f aca="false">AL35+MIN(AB35-AL35,MAX(0,'Start Here'!$B$10-SUM($AJ35:$AS35)-SUMPRODUCT(($Z$3:$AI$3&lt;AB$3)*($Z35:$AI35-$AJ35:$AS35))))</f>
        <v>0</v>
      </c>
      <c r="I35" s="42" t="n">
        <f aca="false">AM35+MIN(AC35-AM35,MAX(0,'Start Here'!$B$10-SUM($AJ35:$AS35)-SUMPRODUCT(($Z$3:$AI$3&lt;AC$3)*($Z35:$AI35-$AJ35:$AS35))))</f>
        <v>0</v>
      </c>
      <c r="J35" s="42" t="n">
        <f aca="false">AN35+MIN(AD35-AN35,MAX(0,'Start Here'!$B$10-SUM($AJ35:$AS35)-SUMPRODUCT(($Z$3:$AI$3&lt;AD$3)*($Z35:$AI35-$AJ35:$AS35))))</f>
        <v>0</v>
      </c>
      <c r="K35" s="42" t="n">
        <f aca="false">AO35+MIN(AE35-AO35,MAX(0,'Start Here'!$B$10-SUM($AJ35:$AS35)-SUMPRODUCT(($Z$3:$AI$3&lt;AE$3)*($Z35:$AI35-$AJ35:$AS35))))</f>
        <v>1220</v>
      </c>
      <c r="L35" s="42" t="n">
        <f aca="false">AP35+MIN(AF35-AP35,MAX(0,'Start Here'!$B$10-SUM($AJ35:$AS35)-SUMPRODUCT(($Z$3:$AI$3&lt;AF$3)*($Z35:$AI35-$AJ35:$AS35))))</f>
        <v>0</v>
      </c>
      <c r="M35" s="42" t="n">
        <f aca="false">AQ35+MIN(AG35-AQ35,MAX(0,'Start Here'!$B$10-SUM($AJ35:$AS35)-SUMPRODUCT(($Z$3:$AI$3&lt;AG$3)*($Z35:$AI35-$AJ35:$AS35))))</f>
        <v>0</v>
      </c>
      <c r="N35" s="42" t="n">
        <f aca="false">AR35+MIN(AH35-AR35,MAX(0,'Start Here'!$B$10-SUM($AJ35:$AS35)-SUMPRODUCT(($Z$3:$AI$3&lt;AH$3)*($Z35:$AI35-$AJ35:$AS35))))</f>
        <v>0</v>
      </c>
      <c r="O35" s="42" t="n">
        <f aca="false">AS35+MIN(AI35-AS35,MAX(0,'Start Here'!$B$10-SUM($AJ35:$AS35)-SUMPRODUCT(($Z$3:$AI$3&lt;AI$3)*($Z35:$AI35-$AJ35:$AS35))))</f>
        <v>0</v>
      </c>
      <c r="P35" s="42" t="n">
        <f aca="false">ROUND(Z35-F35,2)</f>
        <v>0</v>
      </c>
      <c r="Q35" s="42" t="n">
        <f aca="false">ROUND(AA35-G35,2)</f>
        <v>0</v>
      </c>
      <c r="R35" s="42" t="n">
        <f aca="false">ROUND(AB35-H35,2)</f>
        <v>0</v>
      </c>
      <c r="S35" s="42" t="n">
        <f aca="false">ROUND(AC35-I35,2)</f>
        <v>0</v>
      </c>
      <c r="T35" s="42" t="n">
        <f aca="false">ROUND(AD35-J35,2)</f>
        <v>0</v>
      </c>
      <c r="U35" s="42" t="n">
        <f aca="false">ROUND(AE35-K35,2)</f>
        <v>12866.21</v>
      </c>
      <c r="V35" s="42" t="n">
        <f aca="false">ROUND(AF35-L35,2)</f>
        <v>0</v>
      </c>
      <c r="W35" s="42" t="n">
        <f aca="false">ROUND(AG35-M35,2)</f>
        <v>0</v>
      </c>
      <c r="X35" s="42" t="n">
        <f aca="false">ROUND(AH35-N35,2)</f>
        <v>0</v>
      </c>
      <c r="Y35" s="42" t="n">
        <f aca="false">ROUND(AI35-O35,2)</f>
        <v>0</v>
      </c>
      <c r="Z35" s="56" t="n">
        <f aca="false">ROUND(P34*(1+N(Debts!$D$5)/12),2)</f>
        <v>0</v>
      </c>
      <c r="AA35" s="56" t="n">
        <f aca="false">ROUND(Q34*(1+N(Debts!$D$6)/12),2)</f>
        <v>0</v>
      </c>
      <c r="AB35" s="56" t="n">
        <f aca="false">ROUND(R34*(1+N(Debts!$D$7)/12),2)</f>
        <v>0</v>
      </c>
      <c r="AC35" s="56" t="n">
        <f aca="false">ROUND(S34*(1+N(Debts!$D$8)/12),2)</f>
        <v>0</v>
      </c>
      <c r="AD35" s="56" t="n">
        <f aca="false">ROUND(T34*(1+N(Debts!$D$9)/12),2)</f>
        <v>0</v>
      </c>
      <c r="AE35" s="56" t="n">
        <f aca="false">ROUND(U34*(1+N(Debts!$D$10)/12),2)</f>
        <v>14086.21</v>
      </c>
      <c r="AF35" s="56" t="n">
        <f aca="false">ROUND(V34*(1+N(Debts!$D$11)/12),2)</f>
        <v>0</v>
      </c>
      <c r="AG35" s="56" t="n">
        <f aca="false">ROUND(W34*(1+N(Debts!$D$12)/12),2)</f>
        <v>0</v>
      </c>
      <c r="AH35" s="56" t="n">
        <f aca="false">ROUND(X34*(1+N(Debts!$D$13)/12),2)</f>
        <v>0</v>
      </c>
      <c r="AI35" s="56" t="n">
        <f aca="false">ROUND(Y34*(1+N(Debts!$D$14)/12),2)</f>
        <v>0</v>
      </c>
      <c r="AJ35" s="56" t="n">
        <f aca="false">MIN(Z35,MAX(0,N(Debts!$E$5)))</f>
        <v>0</v>
      </c>
      <c r="AK35" s="56" t="n">
        <f aca="false">MIN(AA35,MAX(0,N(Debts!$E$6)))</f>
        <v>0</v>
      </c>
      <c r="AL35" s="56" t="n">
        <f aca="false">MIN(AB35,MAX(0,N(Debts!$E$7)))</f>
        <v>0</v>
      </c>
      <c r="AM35" s="56" t="n">
        <f aca="false">MIN(AC35,MAX(0,N(Debts!$E$8)))</f>
        <v>0</v>
      </c>
      <c r="AN35" s="56" t="n">
        <f aca="false">MIN(AD35,MAX(0,N(Debts!$E$9)))</f>
        <v>0</v>
      </c>
      <c r="AO35" s="56" t="n">
        <f aca="false">MIN(AE35,MAX(0,N(Debts!$E$10)))</f>
        <v>210</v>
      </c>
      <c r="AP35" s="56" t="n">
        <f aca="false">MIN(AF35,MAX(0,N(Debts!$E$11)))</f>
        <v>0</v>
      </c>
      <c r="AQ35" s="56" t="n">
        <f aca="false">MIN(AG35,MAX(0,N(Debts!$E$12)))</f>
        <v>0</v>
      </c>
      <c r="AR35" s="56" t="n">
        <f aca="false">MIN(AH35,MAX(0,N(Debts!$E$13)))</f>
        <v>0</v>
      </c>
      <c r="AS35" s="56" t="n">
        <f aca="false">MIN(AI35,MAX(0,N(Debts!$E$14)))</f>
        <v>0</v>
      </c>
    </row>
    <row r="36" customFormat="false" ht="15" hidden="false" customHeight="false" outlineLevel="0" collapsed="false">
      <c r="A36" s="53" t="n">
        <v>32</v>
      </c>
      <c r="B36" s="54" t="n">
        <f aca="false">EDATE('Start Here'!$B$8,31)</f>
        <v>47270</v>
      </c>
      <c r="C36" s="42" t="n">
        <f aca="false">SUM(F36:O36)</f>
        <v>1220</v>
      </c>
      <c r="D36" s="42" t="n">
        <f aca="false">ROUND(SUM($Z36:$AI36)-SUM(P35:Y35),2)</f>
        <v>58.97</v>
      </c>
      <c r="E36" s="55" t="n">
        <f aca="false">SUM(P36:Y36)</f>
        <v>11705.18</v>
      </c>
      <c r="F36" s="42" t="n">
        <f aca="false">AJ36+MIN(Z36-AJ36,MAX(0,'Start Here'!$B$10-SUM($AJ36:$AS36)-SUMPRODUCT(($Z$3:$AI$3&lt;Z$3)*($Z36:$AI36-$AJ36:$AS36))))</f>
        <v>0</v>
      </c>
      <c r="G36" s="42" t="n">
        <f aca="false">AK36+MIN(AA36-AK36,MAX(0,'Start Here'!$B$10-SUM($AJ36:$AS36)-SUMPRODUCT(($Z$3:$AI$3&lt;AA$3)*($Z36:$AI36-$AJ36:$AS36))))</f>
        <v>0</v>
      </c>
      <c r="H36" s="42" t="n">
        <f aca="false">AL36+MIN(AB36-AL36,MAX(0,'Start Here'!$B$10-SUM($AJ36:$AS36)-SUMPRODUCT(($Z$3:$AI$3&lt;AB$3)*($Z36:$AI36-$AJ36:$AS36))))</f>
        <v>0</v>
      </c>
      <c r="I36" s="42" t="n">
        <f aca="false">AM36+MIN(AC36-AM36,MAX(0,'Start Here'!$B$10-SUM($AJ36:$AS36)-SUMPRODUCT(($Z$3:$AI$3&lt;AC$3)*($Z36:$AI36-$AJ36:$AS36))))</f>
        <v>0</v>
      </c>
      <c r="J36" s="42" t="n">
        <f aca="false">AN36+MIN(AD36-AN36,MAX(0,'Start Here'!$B$10-SUM($AJ36:$AS36)-SUMPRODUCT(($Z$3:$AI$3&lt;AD$3)*($Z36:$AI36-$AJ36:$AS36))))</f>
        <v>0</v>
      </c>
      <c r="K36" s="42" t="n">
        <f aca="false">AO36+MIN(AE36-AO36,MAX(0,'Start Here'!$B$10-SUM($AJ36:$AS36)-SUMPRODUCT(($Z$3:$AI$3&lt;AE$3)*($Z36:$AI36-$AJ36:$AS36))))</f>
        <v>1220</v>
      </c>
      <c r="L36" s="42" t="n">
        <f aca="false">AP36+MIN(AF36-AP36,MAX(0,'Start Here'!$B$10-SUM($AJ36:$AS36)-SUMPRODUCT(($Z$3:$AI$3&lt;AF$3)*($Z36:$AI36-$AJ36:$AS36))))</f>
        <v>0</v>
      </c>
      <c r="M36" s="42" t="n">
        <f aca="false">AQ36+MIN(AG36-AQ36,MAX(0,'Start Here'!$B$10-SUM($AJ36:$AS36)-SUMPRODUCT(($Z$3:$AI$3&lt;AG$3)*($Z36:$AI36-$AJ36:$AS36))))</f>
        <v>0</v>
      </c>
      <c r="N36" s="42" t="n">
        <f aca="false">AR36+MIN(AH36-AR36,MAX(0,'Start Here'!$B$10-SUM($AJ36:$AS36)-SUMPRODUCT(($Z$3:$AI$3&lt;AH$3)*($Z36:$AI36-$AJ36:$AS36))))</f>
        <v>0</v>
      </c>
      <c r="O36" s="42" t="n">
        <f aca="false">AS36+MIN(AI36-AS36,MAX(0,'Start Here'!$B$10-SUM($AJ36:$AS36)-SUMPRODUCT(($Z$3:$AI$3&lt;AI$3)*($Z36:$AI36-$AJ36:$AS36))))</f>
        <v>0</v>
      </c>
      <c r="P36" s="42" t="n">
        <f aca="false">ROUND(Z36-F36,2)</f>
        <v>0</v>
      </c>
      <c r="Q36" s="42" t="n">
        <f aca="false">ROUND(AA36-G36,2)</f>
        <v>0</v>
      </c>
      <c r="R36" s="42" t="n">
        <f aca="false">ROUND(AB36-H36,2)</f>
        <v>0</v>
      </c>
      <c r="S36" s="42" t="n">
        <f aca="false">ROUND(AC36-I36,2)</f>
        <v>0</v>
      </c>
      <c r="T36" s="42" t="n">
        <f aca="false">ROUND(AD36-J36,2)</f>
        <v>0</v>
      </c>
      <c r="U36" s="42" t="n">
        <f aca="false">ROUND(AE36-K36,2)</f>
        <v>11705.18</v>
      </c>
      <c r="V36" s="42" t="n">
        <f aca="false">ROUND(AF36-L36,2)</f>
        <v>0</v>
      </c>
      <c r="W36" s="42" t="n">
        <f aca="false">ROUND(AG36-M36,2)</f>
        <v>0</v>
      </c>
      <c r="X36" s="42" t="n">
        <f aca="false">ROUND(AH36-N36,2)</f>
        <v>0</v>
      </c>
      <c r="Y36" s="42" t="n">
        <f aca="false">ROUND(AI36-O36,2)</f>
        <v>0</v>
      </c>
      <c r="Z36" s="56" t="n">
        <f aca="false">ROUND(P35*(1+N(Debts!$D$5)/12),2)</f>
        <v>0</v>
      </c>
      <c r="AA36" s="56" t="n">
        <f aca="false">ROUND(Q35*(1+N(Debts!$D$6)/12),2)</f>
        <v>0</v>
      </c>
      <c r="AB36" s="56" t="n">
        <f aca="false">ROUND(R35*(1+N(Debts!$D$7)/12),2)</f>
        <v>0</v>
      </c>
      <c r="AC36" s="56" t="n">
        <f aca="false">ROUND(S35*(1+N(Debts!$D$8)/12),2)</f>
        <v>0</v>
      </c>
      <c r="AD36" s="56" t="n">
        <f aca="false">ROUND(T35*(1+N(Debts!$D$9)/12),2)</f>
        <v>0</v>
      </c>
      <c r="AE36" s="56" t="n">
        <f aca="false">ROUND(U35*(1+N(Debts!$D$10)/12),2)</f>
        <v>12925.18</v>
      </c>
      <c r="AF36" s="56" t="n">
        <f aca="false">ROUND(V35*(1+N(Debts!$D$11)/12),2)</f>
        <v>0</v>
      </c>
      <c r="AG36" s="56" t="n">
        <f aca="false">ROUND(W35*(1+N(Debts!$D$12)/12),2)</f>
        <v>0</v>
      </c>
      <c r="AH36" s="56" t="n">
        <f aca="false">ROUND(X35*(1+N(Debts!$D$13)/12),2)</f>
        <v>0</v>
      </c>
      <c r="AI36" s="56" t="n">
        <f aca="false">ROUND(Y35*(1+N(Debts!$D$14)/12),2)</f>
        <v>0</v>
      </c>
      <c r="AJ36" s="56" t="n">
        <f aca="false">MIN(Z36,MAX(0,N(Debts!$E$5)))</f>
        <v>0</v>
      </c>
      <c r="AK36" s="56" t="n">
        <f aca="false">MIN(AA36,MAX(0,N(Debts!$E$6)))</f>
        <v>0</v>
      </c>
      <c r="AL36" s="56" t="n">
        <f aca="false">MIN(AB36,MAX(0,N(Debts!$E$7)))</f>
        <v>0</v>
      </c>
      <c r="AM36" s="56" t="n">
        <f aca="false">MIN(AC36,MAX(0,N(Debts!$E$8)))</f>
        <v>0</v>
      </c>
      <c r="AN36" s="56" t="n">
        <f aca="false">MIN(AD36,MAX(0,N(Debts!$E$9)))</f>
        <v>0</v>
      </c>
      <c r="AO36" s="56" t="n">
        <f aca="false">MIN(AE36,MAX(0,N(Debts!$E$10)))</f>
        <v>210</v>
      </c>
      <c r="AP36" s="56" t="n">
        <f aca="false">MIN(AF36,MAX(0,N(Debts!$E$11)))</f>
        <v>0</v>
      </c>
      <c r="AQ36" s="56" t="n">
        <f aca="false">MIN(AG36,MAX(0,N(Debts!$E$12)))</f>
        <v>0</v>
      </c>
      <c r="AR36" s="56" t="n">
        <f aca="false">MIN(AH36,MAX(0,N(Debts!$E$13)))</f>
        <v>0</v>
      </c>
      <c r="AS36" s="56" t="n">
        <f aca="false">MIN(AI36,MAX(0,N(Debts!$E$14)))</f>
        <v>0</v>
      </c>
    </row>
    <row r="37" customFormat="false" ht="15" hidden="false" customHeight="false" outlineLevel="0" collapsed="false">
      <c r="A37" s="53" t="n">
        <v>33</v>
      </c>
      <c r="B37" s="54" t="n">
        <f aca="false">EDATE('Start Here'!$B$8,32)</f>
        <v>47300</v>
      </c>
      <c r="C37" s="42" t="n">
        <f aca="false">SUM(F37:O37)</f>
        <v>1220</v>
      </c>
      <c r="D37" s="42" t="n">
        <f aca="false">ROUND(SUM($Z37:$AI37)-SUM(P36:Y36),2)</f>
        <v>53.65</v>
      </c>
      <c r="E37" s="55" t="n">
        <f aca="false">SUM(P37:Y37)</f>
        <v>10538.83</v>
      </c>
      <c r="F37" s="42" t="n">
        <f aca="false">AJ37+MIN(Z37-AJ37,MAX(0,'Start Here'!$B$10-SUM($AJ37:$AS37)-SUMPRODUCT(($Z$3:$AI$3&lt;Z$3)*($Z37:$AI37-$AJ37:$AS37))))</f>
        <v>0</v>
      </c>
      <c r="G37" s="42" t="n">
        <f aca="false">AK37+MIN(AA37-AK37,MAX(0,'Start Here'!$B$10-SUM($AJ37:$AS37)-SUMPRODUCT(($Z$3:$AI$3&lt;AA$3)*($Z37:$AI37-$AJ37:$AS37))))</f>
        <v>0</v>
      </c>
      <c r="H37" s="42" t="n">
        <f aca="false">AL37+MIN(AB37-AL37,MAX(0,'Start Here'!$B$10-SUM($AJ37:$AS37)-SUMPRODUCT(($Z$3:$AI$3&lt;AB$3)*($Z37:$AI37-$AJ37:$AS37))))</f>
        <v>0</v>
      </c>
      <c r="I37" s="42" t="n">
        <f aca="false">AM37+MIN(AC37-AM37,MAX(0,'Start Here'!$B$10-SUM($AJ37:$AS37)-SUMPRODUCT(($Z$3:$AI$3&lt;AC$3)*($Z37:$AI37-$AJ37:$AS37))))</f>
        <v>0</v>
      </c>
      <c r="J37" s="42" t="n">
        <f aca="false">AN37+MIN(AD37-AN37,MAX(0,'Start Here'!$B$10-SUM($AJ37:$AS37)-SUMPRODUCT(($Z$3:$AI$3&lt;AD$3)*($Z37:$AI37-$AJ37:$AS37))))</f>
        <v>0</v>
      </c>
      <c r="K37" s="42" t="n">
        <f aca="false">AO37+MIN(AE37-AO37,MAX(0,'Start Here'!$B$10-SUM($AJ37:$AS37)-SUMPRODUCT(($Z$3:$AI$3&lt;AE$3)*($Z37:$AI37-$AJ37:$AS37))))</f>
        <v>1220</v>
      </c>
      <c r="L37" s="42" t="n">
        <f aca="false">AP37+MIN(AF37-AP37,MAX(0,'Start Here'!$B$10-SUM($AJ37:$AS37)-SUMPRODUCT(($Z$3:$AI$3&lt;AF$3)*($Z37:$AI37-$AJ37:$AS37))))</f>
        <v>0</v>
      </c>
      <c r="M37" s="42" t="n">
        <f aca="false">AQ37+MIN(AG37-AQ37,MAX(0,'Start Here'!$B$10-SUM($AJ37:$AS37)-SUMPRODUCT(($Z$3:$AI$3&lt;AG$3)*($Z37:$AI37-$AJ37:$AS37))))</f>
        <v>0</v>
      </c>
      <c r="N37" s="42" t="n">
        <f aca="false">AR37+MIN(AH37-AR37,MAX(0,'Start Here'!$B$10-SUM($AJ37:$AS37)-SUMPRODUCT(($Z$3:$AI$3&lt;AH$3)*($Z37:$AI37-$AJ37:$AS37))))</f>
        <v>0</v>
      </c>
      <c r="O37" s="42" t="n">
        <f aca="false">AS37+MIN(AI37-AS37,MAX(0,'Start Here'!$B$10-SUM($AJ37:$AS37)-SUMPRODUCT(($Z$3:$AI$3&lt;AI$3)*($Z37:$AI37-$AJ37:$AS37))))</f>
        <v>0</v>
      </c>
      <c r="P37" s="42" t="n">
        <f aca="false">ROUND(Z37-F37,2)</f>
        <v>0</v>
      </c>
      <c r="Q37" s="42" t="n">
        <f aca="false">ROUND(AA37-G37,2)</f>
        <v>0</v>
      </c>
      <c r="R37" s="42" t="n">
        <f aca="false">ROUND(AB37-H37,2)</f>
        <v>0</v>
      </c>
      <c r="S37" s="42" t="n">
        <f aca="false">ROUND(AC37-I37,2)</f>
        <v>0</v>
      </c>
      <c r="T37" s="42" t="n">
        <f aca="false">ROUND(AD37-J37,2)</f>
        <v>0</v>
      </c>
      <c r="U37" s="42" t="n">
        <f aca="false">ROUND(AE37-K37,2)</f>
        <v>10538.83</v>
      </c>
      <c r="V37" s="42" t="n">
        <f aca="false">ROUND(AF37-L37,2)</f>
        <v>0</v>
      </c>
      <c r="W37" s="42" t="n">
        <f aca="false">ROUND(AG37-M37,2)</f>
        <v>0</v>
      </c>
      <c r="X37" s="42" t="n">
        <f aca="false">ROUND(AH37-N37,2)</f>
        <v>0</v>
      </c>
      <c r="Y37" s="42" t="n">
        <f aca="false">ROUND(AI37-O37,2)</f>
        <v>0</v>
      </c>
      <c r="Z37" s="56" t="n">
        <f aca="false">ROUND(P36*(1+N(Debts!$D$5)/12),2)</f>
        <v>0</v>
      </c>
      <c r="AA37" s="56" t="n">
        <f aca="false">ROUND(Q36*(1+N(Debts!$D$6)/12),2)</f>
        <v>0</v>
      </c>
      <c r="AB37" s="56" t="n">
        <f aca="false">ROUND(R36*(1+N(Debts!$D$7)/12),2)</f>
        <v>0</v>
      </c>
      <c r="AC37" s="56" t="n">
        <f aca="false">ROUND(S36*(1+N(Debts!$D$8)/12),2)</f>
        <v>0</v>
      </c>
      <c r="AD37" s="56" t="n">
        <f aca="false">ROUND(T36*(1+N(Debts!$D$9)/12),2)</f>
        <v>0</v>
      </c>
      <c r="AE37" s="56" t="n">
        <f aca="false">ROUND(U36*(1+N(Debts!$D$10)/12),2)</f>
        <v>11758.83</v>
      </c>
      <c r="AF37" s="56" t="n">
        <f aca="false">ROUND(V36*(1+N(Debts!$D$11)/12),2)</f>
        <v>0</v>
      </c>
      <c r="AG37" s="56" t="n">
        <f aca="false">ROUND(W36*(1+N(Debts!$D$12)/12),2)</f>
        <v>0</v>
      </c>
      <c r="AH37" s="56" t="n">
        <f aca="false">ROUND(X36*(1+N(Debts!$D$13)/12),2)</f>
        <v>0</v>
      </c>
      <c r="AI37" s="56" t="n">
        <f aca="false">ROUND(Y36*(1+N(Debts!$D$14)/12),2)</f>
        <v>0</v>
      </c>
      <c r="AJ37" s="56" t="n">
        <f aca="false">MIN(Z37,MAX(0,N(Debts!$E$5)))</f>
        <v>0</v>
      </c>
      <c r="AK37" s="56" t="n">
        <f aca="false">MIN(AA37,MAX(0,N(Debts!$E$6)))</f>
        <v>0</v>
      </c>
      <c r="AL37" s="56" t="n">
        <f aca="false">MIN(AB37,MAX(0,N(Debts!$E$7)))</f>
        <v>0</v>
      </c>
      <c r="AM37" s="56" t="n">
        <f aca="false">MIN(AC37,MAX(0,N(Debts!$E$8)))</f>
        <v>0</v>
      </c>
      <c r="AN37" s="56" t="n">
        <f aca="false">MIN(AD37,MAX(0,N(Debts!$E$9)))</f>
        <v>0</v>
      </c>
      <c r="AO37" s="56" t="n">
        <f aca="false">MIN(AE37,MAX(0,N(Debts!$E$10)))</f>
        <v>210</v>
      </c>
      <c r="AP37" s="56" t="n">
        <f aca="false">MIN(AF37,MAX(0,N(Debts!$E$11)))</f>
        <v>0</v>
      </c>
      <c r="AQ37" s="56" t="n">
        <f aca="false">MIN(AG37,MAX(0,N(Debts!$E$12)))</f>
        <v>0</v>
      </c>
      <c r="AR37" s="56" t="n">
        <f aca="false">MIN(AH37,MAX(0,N(Debts!$E$13)))</f>
        <v>0</v>
      </c>
      <c r="AS37" s="56" t="n">
        <f aca="false">MIN(AI37,MAX(0,N(Debts!$E$14)))</f>
        <v>0</v>
      </c>
    </row>
    <row r="38" customFormat="false" ht="15" hidden="false" customHeight="false" outlineLevel="0" collapsed="false">
      <c r="A38" s="53" t="n">
        <v>34</v>
      </c>
      <c r="B38" s="54" t="n">
        <f aca="false">EDATE('Start Here'!$B$8,33)</f>
        <v>47331</v>
      </c>
      <c r="C38" s="42" t="n">
        <f aca="false">SUM(F38:O38)</f>
        <v>1220</v>
      </c>
      <c r="D38" s="42" t="n">
        <f aca="false">ROUND(SUM($Z38:$AI38)-SUM(P37:Y37),2)</f>
        <v>48.3</v>
      </c>
      <c r="E38" s="55" t="n">
        <f aca="false">SUM(P38:Y38)</f>
        <v>9367.13</v>
      </c>
      <c r="F38" s="42" t="n">
        <f aca="false">AJ38+MIN(Z38-AJ38,MAX(0,'Start Here'!$B$10-SUM($AJ38:$AS38)-SUMPRODUCT(($Z$3:$AI$3&lt;Z$3)*($Z38:$AI38-$AJ38:$AS38))))</f>
        <v>0</v>
      </c>
      <c r="G38" s="42" t="n">
        <f aca="false">AK38+MIN(AA38-AK38,MAX(0,'Start Here'!$B$10-SUM($AJ38:$AS38)-SUMPRODUCT(($Z$3:$AI$3&lt;AA$3)*($Z38:$AI38-$AJ38:$AS38))))</f>
        <v>0</v>
      </c>
      <c r="H38" s="42" t="n">
        <f aca="false">AL38+MIN(AB38-AL38,MAX(0,'Start Here'!$B$10-SUM($AJ38:$AS38)-SUMPRODUCT(($Z$3:$AI$3&lt;AB$3)*($Z38:$AI38-$AJ38:$AS38))))</f>
        <v>0</v>
      </c>
      <c r="I38" s="42" t="n">
        <f aca="false">AM38+MIN(AC38-AM38,MAX(0,'Start Here'!$B$10-SUM($AJ38:$AS38)-SUMPRODUCT(($Z$3:$AI$3&lt;AC$3)*($Z38:$AI38-$AJ38:$AS38))))</f>
        <v>0</v>
      </c>
      <c r="J38" s="42" t="n">
        <f aca="false">AN38+MIN(AD38-AN38,MAX(0,'Start Here'!$B$10-SUM($AJ38:$AS38)-SUMPRODUCT(($Z$3:$AI$3&lt;AD$3)*($Z38:$AI38-$AJ38:$AS38))))</f>
        <v>0</v>
      </c>
      <c r="K38" s="42" t="n">
        <f aca="false">AO38+MIN(AE38-AO38,MAX(0,'Start Here'!$B$10-SUM($AJ38:$AS38)-SUMPRODUCT(($Z$3:$AI$3&lt;AE$3)*($Z38:$AI38-$AJ38:$AS38))))</f>
        <v>1220</v>
      </c>
      <c r="L38" s="42" t="n">
        <f aca="false">AP38+MIN(AF38-AP38,MAX(0,'Start Here'!$B$10-SUM($AJ38:$AS38)-SUMPRODUCT(($Z$3:$AI$3&lt;AF$3)*($Z38:$AI38-$AJ38:$AS38))))</f>
        <v>0</v>
      </c>
      <c r="M38" s="42" t="n">
        <f aca="false">AQ38+MIN(AG38-AQ38,MAX(0,'Start Here'!$B$10-SUM($AJ38:$AS38)-SUMPRODUCT(($Z$3:$AI$3&lt;AG$3)*($Z38:$AI38-$AJ38:$AS38))))</f>
        <v>0</v>
      </c>
      <c r="N38" s="42" t="n">
        <f aca="false">AR38+MIN(AH38-AR38,MAX(0,'Start Here'!$B$10-SUM($AJ38:$AS38)-SUMPRODUCT(($Z$3:$AI$3&lt;AH$3)*($Z38:$AI38-$AJ38:$AS38))))</f>
        <v>0</v>
      </c>
      <c r="O38" s="42" t="n">
        <f aca="false">AS38+MIN(AI38-AS38,MAX(0,'Start Here'!$B$10-SUM($AJ38:$AS38)-SUMPRODUCT(($Z$3:$AI$3&lt;AI$3)*($Z38:$AI38-$AJ38:$AS38))))</f>
        <v>0</v>
      </c>
      <c r="P38" s="42" t="n">
        <f aca="false">ROUND(Z38-F38,2)</f>
        <v>0</v>
      </c>
      <c r="Q38" s="42" t="n">
        <f aca="false">ROUND(AA38-G38,2)</f>
        <v>0</v>
      </c>
      <c r="R38" s="42" t="n">
        <f aca="false">ROUND(AB38-H38,2)</f>
        <v>0</v>
      </c>
      <c r="S38" s="42" t="n">
        <f aca="false">ROUND(AC38-I38,2)</f>
        <v>0</v>
      </c>
      <c r="T38" s="42" t="n">
        <f aca="false">ROUND(AD38-J38,2)</f>
        <v>0</v>
      </c>
      <c r="U38" s="42" t="n">
        <f aca="false">ROUND(AE38-K38,2)</f>
        <v>9367.13</v>
      </c>
      <c r="V38" s="42" t="n">
        <f aca="false">ROUND(AF38-L38,2)</f>
        <v>0</v>
      </c>
      <c r="W38" s="42" t="n">
        <f aca="false">ROUND(AG38-M38,2)</f>
        <v>0</v>
      </c>
      <c r="X38" s="42" t="n">
        <f aca="false">ROUND(AH38-N38,2)</f>
        <v>0</v>
      </c>
      <c r="Y38" s="42" t="n">
        <f aca="false">ROUND(AI38-O38,2)</f>
        <v>0</v>
      </c>
      <c r="Z38" s="56" t="n">
        <f aca="false">ROUND(P37*(1+N(Debts!$D$5)/12),2)</f>
        <v>0</v>
      </c>
      <c r="AA38" s="56" t="n">
        <f aca="false">ROUND(Q37*(1+N(Debts!$D$6)/12),2)</f>
        <v>0</v>
      </c>
      <c r="AB38" s="56" t="n">
        <f aca="false">ROUND(R37*(1+N(Debts!$D$7)/12),2)</f>
        <v>0</v>
      </c>
      <c r="AC38" s="56" t="n">
        <f aca="false">ROUND(S37*(1+N(Debts!$D$8)/12),2)</f>
        <v>0</v>
      </c>
      <c r="AD38" s="56" t="n">
        <f aca="false">ROUND(T37*(1+N(Debts!$D$9)/12),2)</f>
        <v>0</v>
      </c>
      <c r="AE38" s="56" t="n">
        <f aca="false">ROUND(U37*(1+N(Debts!$D$10)/12),2)</f>
        <v>10587.13</v>
      </c>
      <c r="AF38" s="56" t="n">
        <f aca="false">ROUND(V37*(1+N(Debts!$D$11)/12),2)</f>
        <v>0</v>
      </c>
      <c r="AG38" s="56" t="n">
        <f aca="false">ROUND(W37*(1+N(Debts!$D$12)/12),2)</f>
        <v>0</v>
      </c>
      <c r="AH38" s="56" t="n">
        <f aca="false">ROUND(X37*(1+N(Debts!$D$13)/12),2)</f>
        <v>0</v>
      </c>
      <c r="AI38" s="56" t="n">
        <f aca="false">ROUND(Y37*(1+N(Debts!$D$14)/12),2)</f>
        <v>0</v>
      </c>
      <c r="AJ38" s="56" t="n">
        <f aca="false">MIN(Z38,MAX(0,N(Debts!$E$5)))</f>
        <v>0</v>
      </c>
      <c r="AK38" s="56" t="n">
        <f aca="false">MIN(AA38,MAX(0,N(Debts!$E$6)))</f>
        <v>0</v>
      </c>
      <c r="AL38" s="56" t="n">
        <f aca="false">MIN(AB38,MAX(0,N(Debts!$E$7)))</f>
        <v>0</v>
      </c>
      <c r="AM38" s="56" t="n">
        <f aca="false">MIN(AC38,MAX(0,N(Debts!$E$8)))</f>
        <v>0</v>
      </c>
      <c r="AN38" s="56" t="n">
        <f aca="false">MIN(AD38,MAX(0,N(Debts!$E$9)))</f>
        <v>0</v>
      </c>
      <c r="AO38" s="56" t="n">
        <f aca="false">MIN(AE38,MAX(0,N(Debts!$E$10)))</f>
        <v>210</v>
      </c>
      <c r="AP38" s="56" t="n">
        <f aca="false">MIN(AF38,MAX(0,N(Debts!$E$11)))</f>
        <v>0</v>
      </c>
      <c r="AQ38" s="56" t="n">
        <f aca="false">MIN(AG38,MAX(0,N(Debts!$E$12)))</f>
        <v>0</v>
      </c>
      <c r="AR38" s="56" t="n">
        <f aca="false">MIN(AH38,MAX(0,N(Debts!$E$13)))</f>
        <v>0</v>
      </c>
      <c r="AS38" s="56" t="n">
        <f aca="false">MIN(AI38,MAX(0,N(Debts!$E$14)))</f>
        <v>0</v>
      </c>
    </row>
    <row r="39" customFormat="false" ht="15" hidden="false" customHeight="false" outlineLevel="0" collapsed="false">
      <c r="A39" s="53" t="n">
        <v>35</v>
      </c>
      <c r="B39" s="54" t="n">
        <f aca="false">EDATE('Start Here'!$B$8,34)</f>
        <v>47362</v>
      </c>
      <c r="C39" s="42" t="n">
        <f aca="false">SUM(F39:O39)</f>
        <v>1220</v>
      </c>
      <c r="D39" s="42" t="n">
        <f aca="false">ROUND(SUM($Z39:$AI39)-SUM(P38:Y38),2)</f>
        <v>42.93</v>
      </c>
      <c r="E39" s="55" t="n">
        <f aca="false">SUM(P39:Y39)</f>
        <v>8190.06</v>
      </c>
      <c r="F39" s="42" t="n">
        <f aca="false">AJ39+MIN(Z39-AJ39,MAX(0,'Start Here'!$B$10-SUM($AJ39:$AS39)-SUMPRODUCT(($Z$3:$AI$3&lt;Z$3)*($Z39:$AI39-$AJ39:$AS39))))</f>
        <v>0</v>
      </c>
      <c r="G39" s="42" t="n">
        <f aca="false">AK39+MIN(AA39-AK39,MAX(0,'Start Here'!$B$10-SUM($AJ39:$AS39)-SUMPRODUCT(($Z$3:$AI$3&lt;AA$3)*($Z39:$AI39-$AJ39:$AS39))))</f>
        <v>0</v>
      </c>
      <c r="H39" s="42" t="n">
        <f aca="false">AL39+MIN(AB39-AL39,MAX(0,'Start Here'!$B$10-SUM($AJ39:$AS39)-SUMPRODUCT(($Z$3:$AI$3&lt;AB$3)*($Z39:$AI39-$AJ39:$AS39))))</f>
        <v>0</v>
      </c>
      <c r="I39" s="42" t="n">
        <f aca="false">AM39+MIN(AC39-AM39,MAX(0,'Start Here'!$B$10-SUM($AJ39:$AS39)-SUMPRODUCT(($Z$3:$AI$3&lt;AC$3)*($Z39:$AI39-$AJ39:$AS39))))</f>
        <v>0</v>
      </c>
      <c r="J39" s="42" t="n">
        <f aca="false">AN39+MIN(AD39-AN39,MAX(0,'Start Here'!$B$10-SUM($AJ39:$AS39)-SUMPRODUCT(($Z$3:$AI$3&lt;AD$3)*($Z39:$AI39-$AJ39:$AS39))))</f>
        <v>0</v>
      </c>
      <c r="K39" s="42" t="n">
        <f aca="false">AO39+MIN(AE39-AO39,MAX(0,'Start Here'!$B$10-SUM($AJ39:$AS39)-SUMPRODUCT(($Z$3:$AI$3&lt;AE$3)*($Z39:$AI39-$AJ39:$AS39))))</f>
        <v>1220</v>
      </c>
      <c r="L39" s="42" t="n">
        <f aca="false">AP39+MIN(AF39-AP39,MAX(0,'Start Here'!$B$10-SUM($AJ39:$AS39)-SUMPRODUCT(($Z$3:$AI$3&lt;AF$3)*($Z39:$AI39-$AJ39:$AS39))))</f>
        <v>0</v>
      </c>
      <c r="M39" s="42" t="n">
        <f aca="false">AQ39+MIN(AG39-AQ39,MAX(0,'Start Here'!$B$10-SUM($AJ39:$AS39)-SUMPRODUCT(($Z$3:$AI$3&lt;AG$3)*($Z39:$AI39-$AJ39:$AS39))))</f>
        <v>0</v>
      </c>
      <c r="N39" s="42" t="n">
        <f aca="false">AR39+MIN(AH39-AR39,MAX(0,'Start Here'!$B$10-SUM($AJ39:$AS39)-SUMPRODUCT(($Z$3:$AI$3&lt;AH$3)*($Z39:$AI39-$AJ39:$AS39))))</f>
        <v>0</v>
      </c>
      <c r="O39" s="42" t="n">
        <f aca="false">AS39+MIN(AI39-AS39,MAX(0,'Start Here'!$B$10-SUM($AJ39:$AS39)-SUMPRODUCT(($Z$3:$AI$3&lt;AI$3)*($Z39:$AI39-$AJ39:$AS39))))</f>
        <v>0</v>
      </c>
      <c r="P39" s="42" t="n">
        <f aca="false">ROUND(Z39-F39,2)</f>
        <v>0</v>
      </c>
      <c r="Q39" s="42" t="n">
        <f aca="false">ROUND(AA39-G39,2)</f>
        <v>0</v>
      </c>
      <c r="R39" s="42" t="n">
        <f aca="false">ROUND(AB39-H39,2)</f>
        <v>0</v>
      </c>
      <c r="S39" s="42" t="n">
        <f aca="false">ROUND(AC39-I39,2)</f>
        <v>0</v>
      </c>
      <c r="T39" s="42" t="n">
        <f aca="false">ROUND(AD39-J39,2)</f>
        <v>0</v>
      </c>
      <c r="U39" s="42" t="n">
        <f aca="false">ROUND(AE39-K39,2)</f>
        <v>8190.06</v>
      </c>
      <c r="V39" s="42" t="n">
        <f aca="false">ROUND(AF39-L39,2)</f>
        <v>0</v>
      </c>
      <c r="W39" s="42" t="n">
        <f aca="false">ROUND(AG39-M39,2)</f>
        <v>0</v>
      </c>
      <c r="X39" s="42" t="n">
        <f aca="false">ROUND(AH39-N39,2)</f>
        <v>0</v>
      </c>
      <c r="Y39" s="42" t="n">
        <f aca="false">ROUND(AI39-O39,2)</f>
        <v>0</v>
      </c>
      <c r="Z39" s="56" t="n">
        <f aca="false">ROUND(P38*(1+N(Debts!$D$5)/12),2)</f>
        <v>0</v>
      </c>
      <c r="AA39" s="56" t="n">
        <f aca="false">ROUND(Q38*(1+N(Debts!$D$6)/12),2)</f>
        <v>0</v>
      </c>
      <c r="AB39" s="56" t="n">
        <f aca="false">ROUND(R38*(1+N(Debts!$D$7)/12),2)</f>
        <v>0</v>
      </c>
      <c r="AC39" s="56" t="n">
        <f aca="false">ROUND(S38*(1+N(Debts!$D$8)/12),2)</f>
        <v>0</v>
      </c>
      <c r="AD39" s="56" t="n">
        <f aca="false">ROUND(T38*(1+N(Debts!$D$9)/12),2)</f>
        <v>0</v>
      </c>
      <c r="AE39" s="56" t="n">
        <f aca="false">ROUND(U38*(1+N(Debts!$D$10)/12),2)</f>
        <v>9410.06</v>
      </c>
      <c r="AF39" s="56" t="n">
        <f aca="false">ROUND(V38*(1+N(Debts!$D$11)/12),2)</f>
        <v>0</v>
      </c>
      <c r="AG39" s="56" t="n">
        <f aca="false">ROUND(W38*(1+N(Debts!$D$12)/12),2)</f>
        <v>0</v>
      </c>
      <c r="AH39" s="56" t="n">
        <f aca="false">ROUND(X38*(1+N(Debts!$D$13)/12),2)</f>
        <v>0</v>
      </c>
      <c r="AI39" s="56" t="n">
        <f aca="false">ROUND(Y38*(1+N(Debts!$D$14)/12),2)</f>
        <v>0</v>
      </c>
      <c r="AJ39" s="56" t="n">
        <f aca="false">MIN(Z39,MAX(0,N(Debts!$E$5)))</f>
        <v>0</v>
      </c>
      <c r="AK39" s="56" t="n">
        <f aca="false">MIN(AA39,MAX(0,N(Debts!$E$6)))</f>
        <v>0</v>
      </c>
      <c r="AL39" s="56" t="n">
        <f aca="false">MIN(AB39,MAX(0,N(Debts!$E$7)))</f>
        <v>0</v>
      </c>
      <c r="AM39" s="56" t="n">
        <f aca="false">MIN(AC39,MAX(0,N(Debts!$E$8)))</f>
        <v>0</v>
      </c>
      <c r="AN39" s="56" t="n">
        <f aca="false">MIN(AD39,MAX(0,N(Debts!$E$9)))</f>
        <v>0</v>
      </c>
      <c r="AO39" s="56" t="n">
        <f aca="false">MIN(AE39,MAX(0,N(Debts!$E$10)))</f>
        <v>210</v>
      </c>
      <c r="AP39" s="56" t="n">
        <f aca="false">MIN(AF39,MAX(0,N(Debts!$E$11)))</f>
        <v>0</v>
      </c>
      <c r="AQ39" s="56" t="n">
        <f aca="false">MIN(AG39,MAX(0,N(Debts!$E$12)))</f>
        <v>0</v>
      </c>
      <c r="AR39" s="56" t="n">
        <f aca="false">MIN(AH39,MAX(0,N(Debts!$E$13)))</f>
        <v>0</v>
      </c>
      <c r="AS39" s="56" t="n">
        <f aca="false">MIN(AI39,MAX(0,N(Debts!$E$14)))</f>
        <v>0</v>
      </c>
    </row>
    <row r="40" customFormat="false" ht="15" hidden="false" customHeight="false" outlineLevel="0" collapsed="false">
      <c r="A40" s="53" t="n">
        <v>36</v>
      </c>
      <c r="B40" s="54" t="n">
        <f aca="false">EDATE('Start Here'!$B$8,35)</f>
        <v>47392</v>
      </c>
      <c r="C40" s="42" t="n">
        <f aca="false">SUM(F40:O40)</f>
        <v>1220</v>
      </c>
      <c r="D40" s="42" t="n">
        <f aca="false">ROUND(SUM($Z40:$AI40)-SUM(P39:Y39),2)</f>
        <v>37.54</v>
      </c>
      <c r="E40" s="55" t="n">
        <f aca="false">SUM(P40:Y40)</f>
        <v>7007.6</v>
      </c>
      <c r="F40" s="42" t="n">
        <f aca="false">AJ40+MIN(Z40-AJ40,MAX(0,'Start Here'!$B$10-SUM($AJ40:$AS40)-SUMPRODUCT(($Z$3:$AI$3&lt;Z$3)*($Z40:$AI40-$AJ40:$AS40))))</f>
        <v>0</v>
      </c>
      <c r="G40" s="42" t="n">
        <f aca="false">AK40+MIN(AA40-AK40,MAX(0,'Start Here'!$B$10-SUM($AJ40:$AS40)-SUMPRODUCT(($Z$3:$AI$3&lt;AA$3)*($Z40:$AI40-$AJ40:$AS40))))</f>
        <v>0</v>
      </c>
      <c r="H40" s="42" t="n">
        <f aca="false">AL40+MIN(AB40-AL40,MAX(0,'Start Here'!$B$10-SUM($AJ40:$AS40)-SUMPRODUCT(($Z$3:$AI$3&lt;AB$3)*($Z40:$AI40-$AJ40:$AS40))))</f>
        <v>0</v>
      </c>
      <c r="I40" s="42" t="n">
        <f aca="false">AM40+MIN(AC40-AM40,MAX(0,'Start Here'!$B$10-SUM($AJ40:$AS40)-SUMPRODUCT(($Z$3:$AI$3&lt;AC$3)*($Z40:$AI40-$AJ40:$AS40))))</f>
        <v>0</v>
      </c>
      <c r="J40" s="42" t="n">
        <f aca="false">AN40+MIN(AD40-AN40,MAX(0,'Start Here'!$B$10-SUM($AJ40:$AS40)-SUMPRODUCT(($Z$3:$AI$3&lt;AD$3)*($Z40:$AI40-$AJ40:$AS40))))</f>
        <v>0</v>
      </c>
      <c r="K40" s="42" t="n">
        <f aca="false">AO40+MIN(AE40-AO40,MAX(0,'Start Here'!$B$10-SUM($AJ40:$AS40)-SUMPRODUCT(($Z$3:$AI$3&lt;AE$3)*($Z40:$AI40-$AJ40:$AS40))))</f>
        <v>1220</v>
      </c>
      <c r="L40" s="42" t="n">
        <f aca="false">AP40+MIN(AF40-AP40,MAX(0,'Start Here'!$B$10-SUM($AJ40:$AS40)-SUMPRODUCT(($Z$3:$AI$3&lt;AF$3)*($Z40:$AI40-$AJ40:$AS40))))</f>
        <v>0</v>
      </c>
      <c r="M40" s="42" t="n">
        <f aca="false">AQ40+MIN(AG40-AQ40,MAX(0,'Start Here'!$B$10-SUM($AJ40:$AS40)-SUMPRODUCT(($Z$3:$AI$3&lt;AG$3)*($Z40:$AI40-$AJ40:$AS40))))</f>
        <v>0</v>
      </c>
      <c r="N40" s="42" t="n">
        <f aca="false">AR40+MIN(AH40-AR40,MAX(0,'Start Here'!$B$10-SUM($AJ40:$AS40)-SUMPRODUCT(($Z$3:$AI$3&lt;AH$3)*($Z40:$AI40-$AJ40:$AS40))))</f>
        <v>0</v>
      </c>
      <c r="O40" s="42" t="n">
        <f aca="false">AS40+MIN(AI40-AS40,MAX(0,'Start Here'!$B$10-SUM($AJ40:$AS40)-SUMPRODUCT(($Z$3:$AI$3&lt;AI$3)*($Z40:$AI40-$AJ40:$AS40))))</f>
        <v>0</v>
      </c>
      <c r="P40" s="42" t="n">
        <f aca="false">ROUND(Z40-F40,2)</f>
        <v>0</v>
      </c>
      <c r="Q40" s="42" t="n">
        <f aca="false">ROUND(AA40-G40,2)</f>
        <v>0</v>
      </c>
      <c r="R40" s="42" t="n">
        <f aca="false">ROUND(AB40-H40,2)</f>
        <v>0</v>
      </c>
      <c r="S40" s="42" t="n">
        <f aca="false">ROUND(AC40-I40,2)</f>
        <v>0</v>
      </c>
      <c r="T40" s="42" t="n">
        <f aca="false">ROUND(AD40-J40,2)</f>
        <v>0</v>
      </c>
      <c r="U40" s="42" t="n">
        <f aca="false">ROUND(AE40-K40,2)</f>
        <v>7007.6</v>
      </c>
      <c r="V40" s="42" t="n">
        <f aca="false">ROUND(AF40-L40,2)</f>
        <v>0</v>
      </c>
      <c r="W40" s="42" t="n">
        <f aca="false">ROUND(AG40-M40,2)</f>
        <v>0</v>
      </c>
      <c r="X40" s="42" t="n">
        <f aca="false">ROUND(AH40-N40,2)</f>
        <v>0</v>
      </c>
      <c r="Y40" s="42" t="n">
        <f aca="false">ROUND(AI40-O40,2)</f>
        <v>0</v>
      </c>
      <c r="Z40" s="56" t="n">
        <f aca="false">ROUND(P39*(1+N(Debts!$D$5)/12),2)</f>
        <v>0</v>
      </c>
      <c r="AA40" s="56" t="n">
        <f aca="false">ROUND(Q39*(1+N(Debts!$D$6)/12),2)</f>
        <v>0</v>
      </c>
      <c r="AB40" s="56" t="n">
        <f aca="false">ROUND(R39*(1+N(Debts!$D$7)/12),2)</f>
        <v>0</v>
      </c>
      <c r="AC40" s="56" t="n">
        <f aca="false">ROUND(S39*(1+N(Debts!$D$8)/12),2)</f>
        <v>0</v>
      </c>
      <c r="AD40" s="56" t="n">
        <f aca="false">ROUND(T39*(1+N(Debts!$D$9)/12),2)</f>
        <v>0</v>
      </c>
      <c r="AE40" s="56" t="n">
        <f aca="false">ROUND(U39*(1+N(Debts!$D$10)/12),2)</f>
        <v>8227.6</v>
      </c>
      <c r="AF40" s="56" t="n">
        <f aca="false">ROUND(V39*(1+N(Debts!$D$11)/12),2)</f>
        <v>0</v>
      </c>
      <c r="AG40" s="56" t="n">
        <f aca="false">ROUND(W39*(1+N(Debts!$D$12)/12),2)</f>
        <v>0</v>
      </c>
      <c r="AH40" s="56" t="n">
        <f aca="false">ROUND(X39*(1+N(Debts!$D$13)/12),2)</f>
        <v>0</v>
      </c>
      <c r="AI40" s="56" t="n">
        <f aca="false">ROUND(Y39*(1+N(Debts!$D$14)/12),2)</f>
        <v>0</v>
      </c>
      <c r="AJ40" s="56" t="n">
        <f aca="false">MIN(Z40,MAX(0,N(Debts!$E$5)))</f>
        <v>0</v>
      </c>
      <c r="AK40" s="56" t="n">
        <f aca="false">MIN(AA40,MAX(0,N(Debts!$E$6)))</f>
        <v>0</v>
      </c>
      <c r="AL40" s="56" t="n">
        <f aca="false">MIN(AB40,MAX(0,N(Debts!$E$7)))</f>
        <v>0</v>
      </c>
      <c r="AM40" s="56" t="n">
        <f aca="false">MIN(AC40,MAX(0,N(Debts!$E$8)))</f>
        <v>0</v>
      </c>
      <c r="AN40" s="56" t="n">
        <f aca="false">MIN(AD40,MAX(0,N(Debts!$E$9)))</f>
        <v>0</v>
      </c>
      <c r="AO40" s="56" t="n">
        <f aca="false">MIN(AE40,MAX(0,N(Debts!$E$10)))</f>
        <v>210</v>
      </c>
      <c r="AP40" s="56" t="n">
        <f aca="false">MIN(AF40,MAX(0,N(Debts!$E$11)))</f>
        <v>0</v>
      </c>
      <c r="AQ40" s="56" t="n">
        <f aca="false">MIN(AG40,MAX(0,N(Debts!$E$12)))</f>
        <v>0</v>
      </c>
      <c r="AR40" s="56" t="n">
        <f aca="false">MIN(AH40,MAX(0,N(Debts!$E$13)))</f>
        <v>0</v>
      </c>
      <c r="AS40" s="56" t="n">
        <f aca="false">MIN(AI40,MAX(0,N(Debts!$E$14)))</f>
        <v>0</v>
      </c>
    </row>
    <row r="41" customFormat="false" ht="15" hidden="false" customHeight="false" outlineLevel="0" collapsed="false">
      <c r="A41" s="53" t="n">
        <v>37</v>
      </c>
      <c r="B41" s="54" t="n">
        <f aca="false">EDATE('Start Here'!$B$8,36)</f>
        <v>47423</v>
      </c>
      <c r="C41" s="42" t="n">
        <f aca="false">SUM(F41:O41)</f>
        <v>1220</v>
      </c>
      <c r="D41" s="42" t="n">
        <f aca="false">ROUND(SUM($Z41:$AI41)-SUM(P40:Y40),2)</f>
        <v>32.12</v>
      </c>
      <c r="E41" s="55" t="n">
        <f aca="false">SUM(P41:Y41)</f>
        <v>5819.72</v>
      </c>
      <c r="F41" s="42" t="n">
        <f aca="false">AJ41+MIN(Z41-AJ41,MAX(0,'Start Here'!$B$10-SUM($AJ41:$AS41)-SUMPRODUCT(($Z$3:$AI$3&lt;Z$3)*($Z41:$AI41-$AJ41:$AS41))))</f>
        <v>0</v>
      </c>
      <c r="G41" s="42" t="n">
        <f aca="false">AK41+MIN(AA41-AK41,MAX(0,'Start Here'!$B$10-SUM($AJ41:$AS41)-SUMPRODUCT(($Z$3:$AI$3&lt;AA$3)*($Z41:$AI41-$AJ41:$AS41))))</f>
        <v>0</v>
      </c>
      <c r="H41" s="42" t="n">
        <f aca="false">AL41+MIN(AB41-AL41,MAX(0,'Start Here'!$B$10-SUM($AJ41:$AS41)-SUMPRODUCT(($Z$3:$AI$3&lt;AB$3)*($Z41:$AI41-$AJ41:$AS41))))</f>
        <v>0</v>
      </c>
      <c r="I41" s="42" t="n">
        <f aca="false">AM41+MIN(AC41-AM41,MAX(0,'Start Here'!$B$10-SUM($AJ41:$AS41)-SUMPRODUCT(($Z$3:$AI$3&lt;AC$3)*($Z41:$AI41-$AJ41:$AS41))))</f>
        <v>0</v>
      </c>
      <c r="J41" s="42" t="n">
        <f aca="false">AN41+MIN(AD41-AN41,MAX(0,'Start Here'!$B$10-SUM($AJ41:$AS41)-SUMPRODUCT(($Z$3:$AI$3&lt;AD$3)*($Z41:$AI41-$AJ41:$AS41))))</f>
        <v>0</v>
      </c>
      <c r="K41" s="42" t="n">
        <f aca="false">AO41+MIN(AE41-AO41,MAX(0,'Start Here'!$B$10-SUM($AJ41:$AS41)-SUMPRODUCT(($Z$3:$AI$3&lt;AE$3)*($Z41:$AI41-$AJ41:$AS41))))</f>
        <v>1220</v>
      </c>
      <c r="L41" s="42" t="n">
        <f aca="false">AP41+MIN(AF41-AP41,MAX(0,'Start Here'!$B$10-SUM($AJ41:$AS41)-SUMPRODUCT(($Z$3:$AI$3&lt;AF$3)*($Z41:$AI41-$AJ41:$AS41))))</f>
        <v>0</v>
      </c>
      <c r="M41" s="42" t="n">
        <f aca="false">AQ41+MIN(AG41-AQ41,MAX(0,'Start Here'!$B$10-SUM($AJ41:$AS41)-SUMPRODUCT(($Z$3:$AI$3&lt;AG$3)*($Z41:$AI41-$AJ41:$AS41))))</f>
        <v>0</v>
      </c>
      <c r="N41" s="42" t="n">
        <f aca="false">AR41+MIN(AH41-AR41,MAX(0,'Start Here'!$B$10-SUM($AJ41:$AS41)-SUMPRODUCT(($Z$3:$AI$3&lt;AH$3)*($Z41:$AI41-$AJ41:$AS41))))</f>
        <v>0</v>
      </c>
      <c r="O41" s="42" t="n">
        <f aca="false">AS41+MIN(AI41-AS41,MAX(0,'Start Here'!$B$10-SUM($AJ41:$AS41)-SUMPRODUCT(($Z$3:$AI$3&lt;AI$3)*($Z41:$AI41-$AJ41:$AS41))))</f>
        <v>0</v>
      </c>
      <c r="P41" s="42" t="n">
        <f aca="false">ROUND(Z41-F41,2)</f>
        <v>0</v>
      </c>
      <c r="Q41" s="42" t="n">
        <f aca="false">ROUND(AA41-G41,2)</f>
        <v>0</v>
      </c>
      <c r="R41" s="42" t="n">
        <f aca="false">ROUND(AB41-H41,2)</f>
        <v>0</v>
      </c>
      <c r="S41" s="42" t="n">
        <f aca="false">ROUND(AC41-I41,2)</f>
        <v>0</v>
      </c>
      <c r="T41" s="42" t="n">
        <f aca="false">ROUND(AD41-J41,2)</f>
        <v>0</v>
      </c>
      <c r="U41" s="42" t="n">
        <f aca="false">ROUND(AE41-K41,2)</f>
        <v>5819.72</v>
      </c>
      <c r="V41" s="42" t="n">
        <f aca="false">ROUND(AF41-L41,2)</f>
        <v>0</v>
      </c>
      <c r="W41" s="42" t="n">
        <f aca="false">ROUND(AG41-M41,2)</f>
        <v>0</v>
      </c>
      <c r="X41" s="42" t="n">
        <f aca="false">ROUND(AH41-N41,2)</f>
        <v>0</v>
      </c>
      <c r="Y41" s="42" t="n">
        <f aca="false">ROUND(AI41-O41,2)</f>
        <v>0</v>
      </c>
      <c r="Z41" s="56" t="n">
        <f aca="false">ROUND(P40*(1+N(Debts!$D$5)/12),2)</f>
        <v>0</v>
      </c>
      <c r="AA41" s="56" t="n">
        <f aca="false">ROUND(Q40*(1+N(Debts!$D$6)/12),2)</f>
        <v>0</v>
      </c>
      <c r="AB41" s="56" t="n">
        <f aca="false">ROUND(R40*(1+N(Debts!$D$7)/12),2)</f>
        <v>0</v>
      </c>
      <c r="AC41" s="56" t="n">
        <f aca="false">ROUND(S40*(1+N(Debts!$D$8)/12),2)</f>
        <v>0</v>
      </c>
      <c r="AD41" s="56" t="n">
        <f aca="false">ROUND(T40*(1+N(Debts!$D$9)/12),2)</f>
        <v>0</v>
      </c>
      <c r="AE41" s="56" t="n">
        <f aca="false">ROUND(U40*(1+N(Debts!$D$10)/12),2)</f>
        <v>7039.72</v>
      </c>
      <c r="AF41" s="56" t="n">
        <f aca="false">ROUND(V40*(1+N(Debts!$D$11)/12),2)</f>
        <v>0</v>
      </c>
      <c r="AG41" s="56" t="n">
        <f aca="false">ROUND(W40*(1+N(Debts!$D$12)/12),2)</f>
        <v>0</v>
      </c>
      <c r="AH41" s="56" t="n">
        <f aca="false">ROUND(X40*(1+N(Debts!$D$13)/12),2)</f>
        <v>0</v>
      </c>
      <c r="AI41" s="56" t="n">
        <f aca="false">ROUND(Y40*(1+N(Debts!$D$14)/12),2)</f>
        <v>0</v>
      </c>
      <c r="AJ41" s="56" t="n">
        <f aca="false">MIN(Z41,MAX(0,N(Debts!$E$5)))</f>
        <v>0</v>
      </c>
      <c r="AK41" s="56" t="n">
        <f aca="false">MIN(AA41,MAX(0,N(Debts!$E$6)))</f>
        <v>0</v>
      </c>
      <c r="AL41" s="56" t="n">
        <f aca="false">MIN(AB41,MAX(0,N(Debts!$E$7)))</f>
        <v>0</v>
      </c>
      <c r="AM41" s="56" t="n">
        <f aca="false">MIN(AC41,MAX(0,N(Debts!$E$8)))</f>
        <v>0</v>
      </c>
      <c r="AN41" s="56" t="n">
        <f aca="false">MIN(AD41,MAX(0,N(Debts!$E$9)))</f>
        <v>0</v>
      </c>
      <c r="AO41" s="56" t="n">
        <f aca="false">MIN(AE41,MAX(0,N(Debts!$E$10)))</f>
        <v>210</v>
      </c>
      <c r="AP41" s="56" t="n">
        <f aca="false">MIN(AF41,MAX(0,N(Debts!$E$11)))</f>
        <v>0</v>
      </c>
      <c r="AQ41" s="56" t="n">
        <f aca="false">MIN(AG41,MAX(0,N(Debts!$E$12)))</f>
        <v>0</v>
      </c>
      <c r="AR41" s="56" t="n">
        <f aca="false">MIN(AH41,MAX(0,N(Debts!$E$13)))</f>
        <v>0</v>
      </c>
      <c r="AS41" s="56" t="n">
        <f aca="false">MIN(AI41,MAX(0,N(Debts!$E$14)))</f>
        <v>0</v>
      </c>
    </row>
    <row r="42" customFormat="false" ht="15" hidden="false" customHeight="false" outlineLevel="0" collapsed="false">
      <c r="A42" s="53" t="n">
        <v>38</v>
      </c>
      <c r="B42" s="54" t="n">
        <f aca="false">EDATE('Start Here'!$B$8,37)</f>
        <v>47453</v>
      </c>
      <c r="C42" s="42" t="n">
        <f aca="false">SUM(F42:O42)</f>
        <v>1220</v>
      </c>
      <c r="D42" s="42" t="n">
        <f aca="false">ROUND(SUM($Z42:$AI42)-SUM(P41:Y41),2)</f>
        <v>26.67</v>
      </c>
      <c r="E42" s="55" t="n">
        <f aca="false">SUM(P42:Y42)</f>
        <v>4626.39</v>
      </c>
      <c r="F42" s="42" t="n">
        <f aca="false">AJ42+MIN(Z42-AJ42,MAX(0,'Start Here'!$B$10-SUM($AJ42:$AS42)-SUMPRODUCT(($Z$3:$AI$3&lt;Z$3)*($Z42:$AI42-$AJ42:$AS42))))</f>
        <v>0</v>
      </c>
      <c r="G42" s="42" t="n">
        <f aca="false">AK42+MIN(AA42-AK42,MAX(0,'Start Here'!$B$10-SUM($AJ42:$AS42)-SUMPRODUCT(($Z$3:$AI$3&lt;AA$3)*($Z42:$AI42-$AJ42:$AS42))))</f>
        <v>0</v>
      </c>
      <c r="H42" s="42" t="n">
        <f aca="false">AL42+MIN(AB42-AL42,MAX(0,'Start Here'!$B$10-SUM($AJ42:$AS42)-SUMPRODUCT(($Z$3:$AI$3&lt;AB$3)*($Z42:$AI42-$AJ42:$AS42))))</f>
        <v>0</v>
      </c>
      <c r="I42" s="42" t="n">
        <f aca="false">AM42+MIN(AC42-AM42,MAX(0,'Start Here'!$B$10-SUM($AJ42:$AS42)-SUMPRODUCT(($Z$3:$AI$3&lt;AC$3)*($Z42:$AI42-$AJ42:$AS42))))</f>
        <v>0</v>
      </c>
      <c r="J42" s="42" t="n">
        <f aca="false">AN42+MIN(AD42-AN42,MAX(0,'Start Here'!$B$10-SUM($AJ42:$AS42)-SUMPRODUCT(($Z$3:$AI$3&lt;AD$3)*($Z42:$AI42-$AJ42:$AS42))))</f>
        <v>0</v>
      </c>
      <c r="K42" s="42" t="n">
        <f aca="false">AO42+MIN(AE42-AO42,MAX(0,'Start Here'!$B$10-SUM($AJ42:$AS42)-SUMPRODUCT(($Z$3:$AI$3&lt;AE$3)*($Z42:$AI42-$AJ42:$AS42))))</f>
        <v>1220</v>
      </c>
      <c r="L42" s="42" t="n">
        <f aca="false">AP42+MIN(AF42-AP42,MAX(0,'Start Here'!$B$10-SUM($AJ42:$AS42)-SUMPRODUCT(($Z$3:$AI$3&lt;AF$3)*($Z42:$AI42-$AJ42:$AS42))))</f>
        <v>0</v>
      </c>
      <c r="M42" s="42" t="n">
        <f aca="false">AQ42+MIN(AG42-AQ42,MAX(0,'Start Here'!$B$10-SUM($AJ42:$AS42)-SUMPRODUCT(($Z$3:$AI$3&lt;AG$3)*($Z42:$AI42-$AJ42:$AS42))))</f>
        <v>0</v>
      </c>
      <c r="N42" s="42" t="n">
        <f aca="false">AR42+MIN(AH42-AR42,MAX(0,'Start Here'!$B$10-SUM($AJ42:$AS42)-SUMPRODUCT(($Z$3:$AI$3&lt;AH$3)*($Z42:$AI42-$AJ42:$AS42))))</f>
        <v>0</v>
      </c>
      <c r="O42" s="42" t="n">
        <f aca="false">AS42+MIN(AI42-AS42,MAX(0,'Start Here'!$B$10-SUM($AJ42:$AS42)-SUMPRODUCT(($Z$3:$AI$3&lt;AI$3)*($Z42:$AI42-$AJ42:$AS42))))</f>
        <v>0</v>
      </c>
      <c r="P42" s="42" t="n">
        <f aca="false">ROUND(Z42-F42,2)</f>
        <v>0</v>
      </c>
      <c r="Q42" s="42" t="n">
        <f aca="false">ROUND(AA42-G42,2)</f>
        <v>0</v>
      </c>
      <c r="R42" s="42" t="n">
        <f aca="false">ROUND(AB42-H42,2)</f>
        <v>0</v>
      </c>
      <c r="S42" s="42" t="n">
        <f aca="false">ROUND(AC42-I42,2)</f>
        <v>0</v>
      </c>
      <c r="T42" s="42" t="n">
        <f aca="false">ROUND(AD42-J42,2)</f>
        <v>0</v>
      </c>
      <c r="U42" s="42" t="n">
        <f aca="false">ROUND(AE42-K42,2)</f>
        <v>4626.39</v>
      </c>
      <c r="V42" s="42" t="n">
        <f aca="false">ROUND(AF42-L42,2)</f>
        <v>0</v>
      </c>
      <c r="W42" s="42" t="n">
        <f aca="false">ROUND(AG42-M42,2)</f>
        <v>0</v>
      </c>
      <c r="X42" s="42" t="n">
        <f aca="false">ROUND(AH42-N42,2)</f>
        <v>0</v>
      </c>
      <c r="Y42" s="42" t="n">
        <f aca="false">ROUND(AI42-O42,2)</f>
        <v>0</v>
      </c>
      <c r="Z42" s="56" t="n">
        <f aca="false">ROUND(P41*(1+N(Debts!$D$5)/12),2)</f>
        <v>0</v>
      </c>
      <c r="AA42" s="56" t="n">
        <f aca="false">ROUND(Q41*(1+N(Debts!$D$6)/12),2)</f>
        <v>0</v>
      </c>
      <c r="AB42" s="56" t="n">
        <f aca="false">ROUND(R41*(1+N(Debts!$D$7)/12),2)</f>
        <v>0</v>
      </c>
      <c r="AC42" s="56" t="n">
        <f aca="false">ROUND(S41*(1+N(Debts!$D$8)/12),2)</f>
        <v>0</v>
      </c>
      <c r="AD42" s="56" t="n">
        <f aca="false">ROUND(T41*(1+N(Debts!$D$9)/12),2)</f>
        <v>0</v>
      </c>
      <c r="AE42" s="56" t="n">
        <f aca="false">ROUND(U41*(1+N(Debts!$D$10)/12),2)</f>
        <v>5846.39</v>
      </c>
      <c r="AF42" s="56" t="n">
        <f aca="false">ROUND(V41*(1+N(Debts!$D$11)/12),2)</f>
        <v>0</v>
      </c>
      <c r="AG42" s="56" t="n">
        <f aca="false">ROUND(W41*(1+N(Debts!$D$12)/12),2)</f>
        <v>0</v>
      </c>
      <c r="AH42" s="56" t="n">
        <f aca="false">ROUND(X41*(1+N(Debts!$D$13)/12),2)</f>
        <v>0</v>
      </c>
      <c r="AI42" s="56" t="n">
        <f aca="false">ROUND(Y41*(1+N(Debts!$D$14)/12),2)</f>
        <v>0</v>
      </c>
      <c r="AJ42" s="56" t="n">
        <f aca="false">MIN(Z42,MAX(0,N(Debts!$E$5)))</f>
        <v>0</v>
      </c>
      <c r="AK42" s="56" t="n">
        <f aca="false">MIN(AA42,MAX(0,N(Debts!$E$6)))</f>
        <v>0</v>
      </c>
      <c r="AL42" s="56" t="n">
        <f aca="false">MIN(AB42,MAX(0,N(Debts!$E$7)))</f>
        <v>0</v>
      </c>
      <c r="AM42" s="56" t="n">
        <f aca="false">MIN(AC42,MAX(0,N(Debts!$E$8)))</f>
        <v>0</v>
      </c>
      <c r="AN42" s="56" t="n">
        <f aca="false">MIN(AD42,MAX(0,N(Debts!$E$9)))</f>
        <v>0</v>
      </c>
      <c r="AO42" s="56" t="n">
        <f aca="false">MIN(AE42,MAX(0,N(Debts!$E$10)))</f>
        <v>210</v>
      </c>
      <c r="AP42" s="56" t="n">
        <f aca="false">MIN(AF42,MAX(0,N(Debts!$E$11)))</f>
        <v>0</v>
      </c>
      <c r="AQ42" s="56" t="n">
        <f aca="false">MIN(AG42,MAX(0,N(Debts!$E$12)))</f>
        <v>0</v>
      </c>
      <c r="AR42" s="56" t="n">
        <f aca="false">MIN(AH42,MAX(0,N(Debts!$E$13)))</f>
        <v>0</v>
      </c>
      <c r="AS42" s="56" t="n">
        <f aca="false">MIN(AI42,MAX(0,N(Debts!$E$14)))</f>
        <v>0</v>
      </c>
    </row>
    <row r="43" customFormat="false" ht="15" hidden="false" customHeight="false" outlineLevel="0" collapsed="false">
      <c r="A43" s="53" t="n">
        <v>39</v>
      </c>
      <c r="B43" s="54" t="n">
        <f aca="false">EDATE('Start Here'!$B$8,38)</f>
        <v>47484</v>
      </c>
      <c r="C43" s="42" t="n">
        <f aca="false">SUM(F43:O43)</f>
        <v>1220</v>
      </c>
      <c r="D43" s="42" t="n">
        <f aca="false">ROUND(SUM($Z43:$AI43)-SUM(P42:Y42),2)</f>
        <v>21.2</v>
      </c>
      <c r="E43" s="55" t="n">
        <f aca="false">SUM(P43:Y43)</f>
        <v>3427.59</v>
      </c>
      <c r="F43" s="42" t="n">
        <f aca="false">AJ43+MIN(Z43-AJ43,MAX(0,'Start Here'!$B$10-SUM($AJ43:$AS43)-SUMPRODUCT(($Z$3:$AI$3&lt;Z$3)*($Z43:$AI43-$AJ43:$AS43))))</f>
        <v>0</v>
      </c>
      <c r="G43" s="42" t="n">
        <f aca="false">AK43+MIN(AA43-AK43,MAX(0,'Start Here'!$B$10-SUM($AJ43:$AS43)-SUMPRODUCT(($Z$3:$AI$3&lt;AA$3)*($Z43:$AI43-$AJ43:$AS43))))</f>
        <v>0</v>
      </c>
      <c r="H43" s="42" t="n">
        <f aca="false">AL43+MIN(AB43-AL43,MAX(0,'Start Here'!$B$10-SUM($AJ43:$AS43)-SUMPRODUCT(($Z$3:$AI$3&lt;AB$3)*($Z43:$AI43-$AJ43:$AS43))))</f>
        <v>0</v>
      </c>
      <c r="I43" s="42" t="n">
        <f aca="false">AM43+MIN(AC43-AM43,MAX(0,'Start Here'!$B$10-SUM($AJ43:$AS43)-SUMPRODUCT(($Z$3:$AI$3&lt;AC$3)*($Z43:$AI43-$AJ43:$AS43))))</f>
        <v>0</v>
      </c>
      <c r="J43" s="42" t="n">
        <f aca="false">AN43+MIN(AD43-AN43,MAX(0,'Start Here'!$B$10-SUM($AJ43:$AS43)-SUMPRODUCT(($Z$3:$AI$3&lt;AD$3)*($Z43:$AI43-$AJ43:$AS43))))</f>
        <v>0</v>
      </c>
      <c r="K43" s="42" t="n">
        <f aca="false">AO43+MIN(AE43-AO43,MAX(0,'Start Here'!$B$10-SUM($AJ43:$AS43)-SUMPRODUCT(($Z$3:$AI$3&lt;AE$3)*($Z43:$AI43-$AJ43:$AS43))))</f>
        <v>1220</v>
      </c>
      <c r="L43" s="42" t="n">
        <f aca="false">AP43+MIN(AF43-AP43,MAX(0,'Start Here'!$B$10-SUM($AJ43:$AS43)-SUMPRODUCT(($Z$3:$AI$3&lt;AF$3)*($Z43:$AI43-$AJ43:$AS43))))</f>
        <v>0</v>
      </c>
      <c r="M43" s="42" t="n">
        <f aca="false">AQ43+MIN(AG43-AQ43,MAX(0,'Start Here'!$B$10-SUM($AJ43:$AS43)-SUMPRODUCT(($Z$3:$AI$3&lt;AG$3)*($Z43:$AI43-$AJ43:$AS43))))</f>
        <v>0</v>
      </c>
      <c r="N43" s="42" t="n">
        <f aca="false">AR43+MIN(AH43-AR43,MAX(0,'Start Here'!$B$10-SUM($AJ43:$AS43)-SUMPRODUCT(($Z$3:$AI$3&lt;AH$3)*($Z43:$AI43-$AJ43:$AS43))))</f>
        <v>0</v>
      </c>
      <c r="O43" s="42" t="n">
        <f aca="false">AS43+MIN(AI43-AS43,MAX(0,'Start Here'!$B$10-SUM($AJ43:$AS43)-SUMPRODUCT(($Z$3:$AI$3&lt;AI$3)*($Z43:$AI43-$AJ43:$AS43))))</f>
        <v>0</v>
      </c>
      <c r="P43" s="42" t="n">
        <f aca="false">ROUND(Z43-F43,2)</f>
        <v>0</v>
      </c>
      <c r="Q43" s="42" t="n">
        <f aca="false">ROUND(AA43-G43,2)</f>
        <v>0</v>
      </c>
      <c r="R43" s="42" t="n">
        <f aca="false">ROUND(AB43-H43,2)</f>
        <v>0</v>
      </c>
      <c r="S43" s="42" t="n">
        <f aca="false">ROUND(AC43-I43,2)</f>
        <v>0</v>
      </c>
      <c r="T43" s="42" t="n">
        <f aca="false">ROUND(AD43-J43,2)</f>
        <v>0</v>
      </c>
      <c r="U43" s="42" t="n">
        <f aca="false">ROUND(AE43-K43,2)</f>
        <v>3427.59</v>
      </c>
      <c r="V43" s="42" t="n">
        <f aca="false">ROUND(AF43-L43,2)</f>
        <v>0</v>
      </c>
      <c r="W43" s="42" t="n">
        <f aca="false">ROUND(AG43-M43,2)</f>
        <v>0</v>
      </c>
      <c r="X43" s="42" t="n">
        <f aca="false">ROUND(AH43-N43,2)</f>
        <v>0</v>
      </c>
      <c r="Y43" s="42" t="n">
        <f aca="false">ROUND(AI43-O43,2)</f>
        <v>0</v>
      </c>
      <c r="Z43" s="56" t="n">
        <f aca="false">ROUND(P42*(1+N(Debts!$D$5)/12),2)</f>
        <v>0</v>
      </c>
      <c r="AA43" s="56" t="n">
        <f aca="false">ROUND(Q42*(1+N(Debts!$D$6)/12),2)</f>
        <v>0</v>
      </c>
      <c r="AB43" s="56" t="n">
        <f aca="false">ROUND(R42*(1+N(Debts!$D$7)/12),2)</f>
        <v>0</v>
      </c>
      <c r="AC43" s="56" t="n">
        <f aca="false">ROUND(S42*(1+N(Debts!$D$8)/12),2)</f>
        <v>0</v>
      </c>
      <c r="AD43" s="56" t="n">
        <f aca="false">ROUND(T42*(1+N(Debts!$D$9)/12),2)</f>
        <v>0</v>
      </c>
      <c r="AE43" s="56" t="n">
        <f aca="false">ROUND(U42*(1+N(Debts!$D$10)/12),2)</f>
        <v>4647.59</v>
      </c>
      <c r="AF43" s="56" t="n">
        <f aca="false">ROUND(V42*(1+N(Debts!$D$11)/12),2)</f>
        <v>0</v>
      </c>
      <c r="AG43" s="56" t="n">
        <f aca="false">ROUND(W42*(1+N(Debts!$D$12)/12),2)</f>
        <v>0</v>
      </c>
      <c r="AH43" s="56" t="n">
        <f aca="false">ROUND(X42*(1+N(Debts!$D$13)/12),2)</f>
        <v>0</v>
      </c>
      <c r="AI43" s="56" t="n">
        <f aca="false">ROUND(Y42*(1+N(Debts!$D$14)/12),2)</f>
        <v>0</v>
      </c>
      <c r="AJ43" s="56" t="n">
        <f aca="false">MIN(Z43,MAX(0,N(Debts!$E$5)))</f>
        <v>0</v>
      </c>
      <c r="AK43" s="56" t="n">
        <f aca="false">MIN(AA43,MAX(0,N(Debts!$E$6)))</f>
        <v>0</v>
      </c>
      <c r="AL43" s="56" t="n">
        <f aca="false">MIN(AB43,MAX(0,N(Debts!$E$7)))</f>
        <v>0</v>
      </c>
      <c r="AM43" s="56" t="n">
        <f aca="false">MIN(AC43,MAX(0,N(Debts!$E$8)))</f>
        <v>0</v>
      </c>
      <c r="AN43" s="56" t="n">
        <f aca="false">MIN(AD43,MAX(0,N(Debts!$E$9)))</f>
        <v>0</v>
      </c>
      <c r="AO43" s="56" t="n">
        <f aca="false">MIN(AE43,MAX(0,N(Debts!$E$10)))</f>
        <v>210</v>
      </c>
      <c r="AP43" s="56" t="n">
        <f aca="false">MIN(AF43,MAX(0,N(Debts!$E$11)))</f>
        <v>0</v>
      </c>
      <c r="AQ43" s="56" t="n">
        <f aca="false">MIN(AG43,MAX(0,N(Debts!$E$12)))</f>
        <v>0</v>
      </c>
      <c r="AR43" s="56" t="n">
        <f aca="false">MIN(AH43,MAX(0,N(Debts!$E$13)))</f>
        <v>0</v>
      </c>
      <c r="AS43" s="56" t="n">
        <f aca="false">MIN(AI43,MAX(0,N(Debts!$E$14)))</f>
        <v>0</v>
      </c>
    </row>
    <row r="44" customFormat="false" ht="15" hidden="false" customHeight="false" outlineLevel="0" collapsed="false">
      <c r="A44" s="53" t="n">
        <v>40</v>
      </c>
      <c r="B44" s="54" t="n">
        <f aca="false">EDATE('Start Here'!$B$8,39)</f>
        <v>47515</v>
      </c>
      <c r="C44" s="42" t="n">
        <f aca="false">SUM(F44:O44)</f>
        <v>1220</v>
      </c>
      <c r="D44" s="42" t="n">
        <f aca="false">ROUND(SUM($Z44:$AI44)-SUM(P43:Y43),2)</f>
        <v>15.71</v>
      </c>
      <c r="E44" s="55" t="n">
        <f aca="false">SUM(P44:Y44)</f>
        <v>2223.3</v>
      </c>
      <c r="F44" s="42" t="n">
        <f aca="false">AJ44+MIN(Z44-AJ44,MAX(0,'Start Here'!$B$10-SUM($AJ44:$AS44)-SUMPRODUCT(($Z$3:$AI$3&lt;Z$3)*($Z44:$AI44-$AJ44:$AS44))))</f>
        <v>0</v>
      </c>
      <c r="G44" s="42" t="n">
        <f aca="false">AK44+MIN(AA44-AK44,MAX(0,'Start Here'!$B$10-SUM($AJ44:$AS44)-SUMPRODUCT(($Z$3:$AI$3&lt;AA$3)*($Z44:$AI44-$AJ44:$AS44))))</f>
        <v>0</v>
      </c>
      <c r="H44" s="42" t="n">
        <f aca="false">AL44+MIN(AB44-AL44,MAX(0,'Start Here'!$B$10-SUM($AJ44:$AS44)-SUMPRODUCT(($Z$3:$AI$3&lt;AB$3)*($Z44:$AI44-$AJ44:$AS44))))</f>
        <v>0</v>
      </c>
      <c r="I44" s="42" t="n">
        <f aca="false">AM44+MIN(AC44-AM44,MAX(0,'Start Here'!$B$10-SUM($AJ44:$AS44)-SUMPRODUCT(($Z$3:$AI$3&lt;AC$3)*($Z44:$AI44-$AJ44:$AS44))))</f>
        <v>0</v>
      </c>
      <c r="J44" s="42" t="n">
        <f aca="false">AN44+MIN(AD44-AN44,MAX(0,'Start Here'!$B$10-SUM($AJ44:$AS44)-SUMPRODUCT(($Z$3:$AI$3&lt;AD$3)*($Z44:$AI44-$AJ44:$AS44))))</f>
        <v>0</v>
      </c>
      <c r="K44" s="42" t="n">
        <f aca="false">AO44+MIN(AE44-AO44,MAX(0,'Start Here'!$B$10-SUM($AJ44:$AS44)-SUMPRODUCT(($Z$3:$AI$3&lt;AE$3)*($Z44:$AI44-$AJ44:$AS44))))</f>
        <v>1220</v>
      </c>
      <c r="L44" s="42" t="n">
        <f aca="false">AP44+MIN(AF44-AP44,MAX(0,'Start Here'!$B$10-SUM($AJ44:$AS44)-SUMPRODUCT(($Z$3:$AI$3&lt;AF$3)*($Z44:$AI44-$AJ44:$AS44))))</f>
        <v>0</v>
      </c>
      <c r="M44" s="42" t="n">
        <f aca="false">AQ44+MIN(AG44-AQ44,MAX(0,'Start Here'!$B$10-SUM($AJ44:$AS44)-SUMPRODUCT(($Z$3:$AI$3&lt;AG$3)*($Z44:$AI44-$AJ44:$AS44))))</f>
        <v>0</v>
      </c>
      <c r="N44" s="42" t="n">
        <f aca="false">AR44+MIN(AH44-AR44,MAX(0,'Start Here'!$B$10-SUM($AJ44:$AS44)-SUMPRODUCT(($Z$3:$AI$3&lt;AH$3)*($Z44:$AI44-$AJ44:$AS44))))</f>
        <v>0</v>
      </c>
      <c r="O44" s="42" t="n">
        <f aca="false">AS44+MIN(AI44-AS44,MAX(0,'Start Here'!$B$10-SUM($AJ44:$AS44)-SUMPRODUCT(($Z$3:$AI$3&lt;AI$3)*($Z44:$AI44-$AJ44:$AS44))))</f>
        <v>0</v>
      </c>
      <c r="P44" s="42" t="n">
        <f aca="false">ROUND(Z44-F44,2)</f>
        <v>0</v>
      </c>
      <c r="Q44" s="42" t="n">
        <f aca="false">ROUND(AA44-G44,2)</f>
        <v>0</v>
      </c>
      <c r="R44" s="42" t="n">
        <f aca="false">ROUND(AB44-H44,2)</f>
        <v>0</v>
      </c>
      <c r="S44" s="42" t="n">
        <f aca="false">ROUND(AC44-I44,2)</f>
        <v>0</v>
      </c>
      <c r="T44" s="42" t="n">
        <f aca="false">ROUND(AD44-J44,2)</f>
        <v>0</v>
      </c>
      <c r="U44" s="42" t="n">
        <f aca="false">ROUND(AE44-K44,2)</f>
        <v>2223.3</v>
      </c>
      <c r="V44" s="42" t="n">
        <f aca="false">ROUND(AF44-L44,2)</f>
        <v>0</v>
      </c>
      <c r="W44" s="42" t="n">
        <f aca="false">ROUND(AG44-M44,2)</f>
        <v>0</v>
      </c>
      <c r="X44" s="42" t="n">
        <f aca="false">ROUND(AH44-N44,2)</f>
        <v>0</v>
      </c>
      <c r="Y44" s="42" t="n">
        <f aca="false">ROUND(AI44-O44,2)</f>
        <v>0</v>
      </c>
      <c r="Z44" s="56" t="n">
        <f aca="false">ROUND(P43*(1+N(Debts!$D$5)/12),2)</f>
        <v>0</v>
      </c>
      <c r="AA44" s="56" t="n">
        <f aca="false">ROUND(Q43*(1+N(Debts!$D$6)/12),2)</f>
        <v>0</v>
      </c>
      <c r="AB44" s="56" t="n">
        <f aca="false">ROUND(R43*(1+N(Debts!$D$7)/12),2)</f>
        <v>0</v>
      </c>
      <c r="AC44" s="56" t="n">
        <f aca="false">ROUND(S43*(1+N(Debts!$D$8)/12),2)</f>
        <v>0</v>
      </c>
      <c r="AD44" s="56" t="n">
        <f aca="false">ROUND(T43*(1+N(Debts!$D$9)/12),2)</f>
        <v>0</v>
      </c>
      <c r="AE44" s="56" t="n">
        <f aca="false">ROUND(U43*(1+N(Debts!$D$10)/12),2)</f>
        <v>3443.3</v>
      </c>
      <c r="AF44" s="56" t="n">
        <f aca="false">ROUND(V43*(1+N(Debts!$D$11)/12),2)</f>
        <v>0</v>
      </c>
      <c r="AG44" s="56" t="n">
        <f aca="false">ROUND(W43*(1+N(Debts!$D$12)/12),2)</f>
        <v>0</v>
      </c>
      <c r="AH44" s="56" t="n">
        <f aca="false">ROUND(X43*(1+N(Debts!$D$13)/12),2)</f>
        <v>0</v>
      </c>
      <c r="AI44" s="56" t="n">
        <f aca="false">ROUND(Y43*(1+N(Debts!$D$14)/12),2)</f>
        <v>0</v>
      </c>
      <c r="AJ44" s="56" t="n">
        <f aca="false">MIN(Z44,MAX(0,N(Debts!$E$5)))</f>
        <v>0</v>
      </c>
      <c r="AK44" s="56" t="n">
        <f aca="false">MIN(AA44,MAX(0,N(Debts!$E$6)))</f>
        <v>0</v>
      </c>
      <c r="AL44" s="56" t="n">
        <f aca="false">MIN(AB44,MAX(0,N(Debts!$E$7)))</f>
        <v>0</v>
      </c>
      <c r="AM44" s="56" t="n">
        <f aca="false">MIN(AC44,MAX(0,N(Debts!$E$8)))</f>
        <v>0</v>
      </c>
      <c r="AN44" s="56" t="n">
        <f aca="false">MIN(AD44,MAX(0,N(Debts!$E$9)))</f>
        <v>0</v>
      </c>
      <c r="AO44" s="56" t="n">
        <f aca="false">MIN(AE44,MAX(0,N(Debts!$E$10)))</f>
        <v>210</v>
      </c>
      <c r="AP44" s="56" t="n">
        <f aca="false">MIN(AF44,MAX(0,N(Debts!$E$11)))</f>
        <v>0</v>
      </c>
      <c r="AQ44" s="56" t="n">
        <f aca="false">MIN(AG44,MAX(0,N(Debts!$E$12)))</f>
        <v>0</v>
      </c>
      <c r="AR44" s="56" t="n">
        <f aca="false">MIN(AH44,MAX(0,N(Debts!$E$13)))</f>
        <v>0</v>
      </c>
      <c r="AS44" s="56" t="n">
        <f aca="false">MIN(AI44,MAX(0,N(Debts!$E$14)))</f>
        <v>0</v>
      </c>
    </row>
    <row r="45" customFormat="false" ht="15" hidden="false" customHeight="false" outlineLevel="0" collapsed="false">
      <c r="A45" s="53" t="n">
        <v>41</v>
      </c>
      <c r="B45" s="54" t="n">
        <f aca="false">EDATE('Start Here'!$B$8,40)</f>
        <v>47543</v>
      </c>
      <c r="C45" s="42" t="n">
        <f aca="false">SUM(F45:O45)</f>
        <v>1220</v>
      </c>
      <c r="D45" s="42" t="n">
        <f aca="false">ROUND(SUM($Z45:$AI45)-SUM(P44:Y44),2)</f>
        <v>10.19</v>
      </c>
      <c r="E45" s="55" t="n">
        <f aca="false">SUM(P45:Y45)</f>
        <v>1013.49</v>
      </c>
      <c r="F45" s="42" t="n">
        <f aca="false">AJ45+MIN(Z45-AJ45,MAX(0,'Start Here'!$B$10-SUM($AJ45:$AS45)-SUMPRODUCT(($Z$3:$AI$3&lt;Z$3)*($Z45:$AI45-$AJ45:$AS45))))</f>
        <v>0</v>
      </c>
      <c r="G45" s="42" t="n">
        <f aca="false">AK45+MIN(AA45-AK45,MAX(0,'Start Here'!$B$10-SUM($AJ45:$AS45)-SUMPRODUCT(($Z$3:$AI$3&lt;AA$3)*($Z45:$AI45-$AJ45:$AS45))))</f>
        <v>0</v>
      </c>
      <c r="H45" s="42" t="n">
        <f aca="false">AL45+MIN(AB45-AL45,MAX(0,'Start Here'!$B$10-SUM($AJ45:$AS45)-SUMPRODUCT(($Z$3:$AI$3&lt;AB$3)*($Z45:$AI45-$AJ45:$AS45))))</f>
        <v>0</v>
      </c>
      <c r="I45" s="42" t="n">
        <f aca="false">AM45+MIN(AC45-AM45,MAX(0,'Start Here'!$B$10-SUM($AJ45:$AS45)-SUMPRODUCT(($Z$3:$AI$3&lt;AC$3)*($Z45:$AI45-$AJ45:$AS45))))</f>
        <v>0</v>
      </c>
      <c r="J45" s="42" t="n">
        <f aca="false">AN45+MIN(AD45-AN45,MAX(0,'Start Here'!$B$10-SUM($AJ45:$AS45)-SUMPRODUCT(($Z$3:$AI$3&lt;AD$3)*($Z45:$AI45-$AJ45:$AS45))))</f>
        <v>0</v>
      </c>
      <c r="K45" s="42" t="n">
        <f aca="false">AO45+MIN(AE45-AO45,MAX(0,'Start Here'!$B$10-SUM($AJ45:$AS45)-SUMPRODUCT(($Z$3:$AI$3&lt;AE$3)*($Z45:$AI45-$AJ45:$AS45))))</f>
        <v>1220</v>
      </c>
      <c r="L45" s="42" t="n">
        <f aca="false">AP45+MIN(AF45-AP45,MAX(0,'Start Here'!$B$10-SUM($AJ45:$AS45)-SUMPRODUCT(($Z$3:$AI$3&lt;AF$3)*($Z45:$AI45-$AJ45:$AS45))))</f>
        <v>0</v>
      </c>
      <c r="M45" s="42" t="n">
        <f aca="false">AQ45+MIN(AG45-AQ45,MAX(0,'Start Here'!$B$10-SUM($AJ45:$AS45)-SUMPRODUCT(($Z$3:$AI$3&lt;AG$3)*($Z45:$AI45-$AJ45:$AS45))))</f>
        <v>0</v>
      </c>
      <c r="N45" s="42" t="n">
        <f aca="false">AR45+MIN(AH45-AR45,MAX(0,'Start Here'!$B$10-SUM($AJ45:$AS45)-SUMPRODUCT(($Z$3:$AI$3&lt;AH$3)*($Z45:$AI45-$AJ45:$AS45))))</f>
        <v>0</v>
      </c>
      <c r="O45" s="42" t="n">
        <f aca="false">AS45+MIN(AI45-AS45,MAX(0,'Start Here'!$B$10-SUM($AJ45:$AS45)-SUMPRODUCT(($Z$3:$AI$3&lt;AI$3)*($Z45:$AI45-$AJ45:$AS45))))</f>
        <v>0</v>
      </c>
      <c r="P45" s="42" t="n">
        <f aca="false">ROUND(Z45-F45,2)</f>
        <v>0</v>
      </c>
      <c r="Q45" s="42" t="n">
        <f aca="false">ROUND(AA45-G45,2)</f>
        <v>0</v>
      </c>
      <c r="R45" s="42" t="n">
        <f aca="false">ROUND(AB45-H45,2)</f>
        <v>0</v>
      </c>
      <c r="S45" s="42" t="n">
        <f aca="false">ROUND(AC45-I45,2)</f>
        <v>0</v>
      </c>
      <c r="T45" s="42" t="n">
        <f aca="false">ROUND(AD45-J45,2)</f>
        <v>0</v>
      </c>
      <c r="U45" s="42" t="n">
        <f aca="false">ROUND(AE45-K45,2)</f>
        <v>1013.49</v>
      </c>
      <c r="V45" s="42" t="n">
        <f aca="false">ROUND(AF45-L45,2)</f>
        <v>0</v>
      </c>
      <c r="W45" s="42" t="n">
        <f aca="false">ROUND(AG45-M45,2)</f>
        <v>0</v>
      </c>
      <c r="X45" s="42" t="n">
        <f aca="false">ROUND(AH45-N45,2)</f>
        <v>0</v>
      </c>
      <c r="Y45" s="42" t="n">
        <f aca="false">ROUND(AI45-O45,2)</f>
        <v>0</v>
      </c>
      <c r="Z45" s="56" t="n">
        <f aca="false">ROUND(P44*(1+N(Debts!$D$5)/12),2)</f>
        <v>0</v>
      </c>
      <c r="AA45" s="56" t="n">
        <f aca="false">ROUND(Q44*(1+N(Debts!$D$6)/12),2)</f>
        <v>0</v>
      </c>
      <c r="AB45" s="56" t="n">
        <f aca="false">ROUND(R44*(1+N(Debts!$D$7)/12),2)</f>
        <v>0</v>
      </c>
      <c r="AC45" s="56" t="n">
        <f aca="false">ROUND(S44*(1+N(Debts!$D$8)/12),2)</f>
        <v>0</v>
      </c>
      <c r="AD45" s="56" t="n">
        <f aca="false">ROUND(T44*(1+N(Debts!$D$9)/12),2)</f>
        <v>0</v>
      </c>
      <c r="AE45" s="56" t="n">
        <f aca="false">ROUND(U44*(1+N(Debts!$D$10)/12),2)</f>
        <v>2233.49</v>
      </c>
      <c r="AF45" s="56" t="n">
        <f aca="false">ROUND(V44*(1+N(Debts!$D$11)/12),2)</f>
        <v>0</v>
      </c>
      <c r="AG45" s="56" t="n">
        <f aca="false">ROUND(W44*(1+N(Debts!$D$12)/12),2)</f>
        <v>0</v>
      </c>
      <c r="AH45" s="56" t="n">
        <f aca="false">ROUND(X44*(1+N(Debts!$D$13)/12),2)</f>
        <v>0</v>
      </c>
      <c r="AI45" s="56" t="n">
        <f aca="false">ROUND(Y44*(1+N(Debts!$D$14)/12),2)</f>
        <v>0</v>
      </c>
      <c r="AJ45" s="56" t="n">
        <f aca="false">MIN(Z45,MAX(0,N(Debts!$E$5)))</f>
        <v>0</v>
      </c>
      <c r="AK45" s="56" t="n">
        <f aca="false">MIN(AA45,MAX(0,N(Debts!$E$6)))</f>
        <v>0</v>
      </c>
      <c r="AL45" s="56" t="n">
        <f aca="false">MIN(AB45,MAX(0,N(Debts!$E$7)))</f>
        <v>0</v>
      </c>
      <c r="AM45" s="56" t="n">
        <f aca="false">MIN(AC45,MAX(0,N(Debts!$E$8)))</f>
        <v>0</v>
      </c>
      <c r="AN45" s="56" t="n">
        <f aca="false">MIN(AD45,MAX(0,N(Debts!$E$9)))</f>
        <v>0</v>
      </c>
      <c r="AO45" s="56" t="n">
        <f aca="false">MIN(AE45,MAX(0,N(Debts!$E$10)))</f>
        <v>210</v>
      </c>
      <c r="AP45" s="56" t="n">
        <f aca="false">MIN(AF45,MAX(0,N(Debts!$E$11)))</f>
        <v>0</v>
      </c>
      <c r="AQ45" s="56" t="n">
        <f aca="false">MIN(AG45,MAX(0,N(Debts!$E$12)))</f>
        <v>0</v>
      </c>
      <c r="AR45" s="56" t="n">
        <f aca="false">MIN(AH45,MAX(0,N(Debts!$E$13)))</f>
        <v>0</v>
      </c>
      <c r="AS45" s="56" t="n">
        <f aca="false">MIN(AI45,MAX(0,N(Debts!$E$14)))</f>
        <v>0</v>
      </c>
    </row>
    <row r="46" customFormat="false" ht="15" hidden="false" customHeight="false" outlineLevel="0" collapsed="false">
      <c r="A46" s="53" t="n">
        <v>42</v>
      </c>
      <c r="B46" s="54" t="n">
        <f aca="false">EDATE('Start Here'!$B$8,41)</f>
        <v>47574</v>
      </c>
      <c r="C46" s="42" t="n">
        <f aca="false">SUM(F46:O46)</f>
        <v>1018.14</v>
      </c>
      <c r="D46" s="42" t="n">
        <f aca="false">ROUND(SUM($Z46:$AI46)-SUM(P45:Y45),2)</f>
        <v>4.65</v>
      </c>
      <c r="E46" s="55" t="n">
        <f aca="false">SUM(P46:Y46)</f>
        <v>0</v>
      </c>
      <c r="F46" s="42" t="n">
        <f aca="false">AJ46+MIN(Z46-AJ46,MAX(0,'Start Here'!$B$10-SUM($AJ46:$AS46)-SUMPRODUCT(($Z$3:$AI$3&lt;Z$3)*($Z46:$AI46-$AJ46:$AS46))))</f>
        <v>0</v>
      </c>
      <c r="G46" s="42" t="n">
        <f aca="false">AK46+MIN(AA46-AK46,MAX(0,'Start Here'!$B$10-SUM($AJ46:$AS46)-SUMPRODUCT(($Z$3:$AI$3&lt;AA$3)*($Z46:$AI46-$AJ46:$AS46))))</f>
        <v>0</v>
      </c>
      <c r="H46" s="42" t="n">
        <f aca="false">AL46+MIN(AB46-AL46,MAX(0,'Start Here'!$B$10-SUM($AJ46:$AS46)-SUMPRODUCT(($Z$3:$AI$3&lt;AB$3)*($Z46:$AI46-$AJ46:$AS46))))</f>
        <v>0</v>
      </c>
      <c r="I46" s="42" t="n">
        <f aca="false">AM46+MIN(AC46-AM46,MAX(0,'Start Here'!$B$10-SUM($AJ46:$AS46)-SUMPRODUCT(($Z$3:$AI$3&lt;AC$3)*($Z46:$AI46-$AJ46:$AS46))))</f>
        <v>0</v>
      </c>
      <c r="J46" s="42" t="n">
        <f aca="false">AN46+MIN(AD46-AN46,MAX(0,'Start Here'!$B$10-SUM($AJ46:$AS46)-SUMPRODUCT(($Z$3:$AI$3&lt;AD$3)*($Z46:$AI46-$AJ46:$AS46))))</f>
        <v>0</v>
      </c>
      <c r="K46" s="42" t="n">
        <f aca="false">AO46+MIN(AE46-AO46,MAX(0,'Start Here'!$B$10-SUM($AJ46:$AS46)-SUMPRODUCT(($Z$3:$AI$3&lt;AE$3)*($Z46:$AI46-$AJ46:$AS46))))</f>
        <v>1018.14</v>
      </c>
      <c r="L46" s="42" t="n">
        <f aca="false">AP46+MIN(AF46-AP46,MAX(0,'Start Here'!$B$10-SUM($AJ46:$AS46)-SUMPRODUCT(($Z$3:$AI$3&lt;AF$3)*($Z46:$AI46-$AJ46:$AS46))))</f>
        <v>0</v>
      </c>
      <c r="M46" s="42" t="n">
        <f aca="false">AQ46+MIN(AG46-AQ46,MAX(0,'Start Here'!$B$10-SUM($AJ46:$AS46)-SUMPRODUCT(($Z$3:$AI$3&lt;AG$3)*($Z46:$AI46-$AJ46:$AS46))))</f>
        <v>0</v>
      </c>
      <c r="N46" s="42" t="n">
        <f aca="false">AR46+MIN(AH46-AR46,MAX(0,'Start Here'!$B$10-SUM($AJ46:$AS46)-SUMPRODUCT(($Z$3:$AI$3&lt;AH$3)*($Z46:$AI46-$AJ46:$AS46))))</f>
        <v>0</v>
      </c>
      <c r="O46" s="42" t="n">
        <f aca="false">AS46+MIN(AI46-AS46,MAX(0,'Start Here'!$B$10-SUM($AJ46:$AS46)-SUMPRODUCT(($Z$3:$AI$3&lt;AI$3)*($Z46:$AI46-$AJ46:$AS46))))</f>
        <v>0</v>
      </c>
      <c r="P46" s="42" t="n">
        <f aca="false">ROUND(Z46-F46,2)</f>
        <v>0</v>
      </c>
      <c r="Q46" s="42" t="n">
        <f aca="false">ROUND(AA46-G46,2)</f>
        <v>0</v>
      </c>
      <c r="R46" s="42" t="n">
        <f aca="false">ROUND(AB46-H46,2)</f>
        <v>0</v>
      </c>
      <c r="S46" s="42" t="n">
        <f aca="false">ROUND(AC46-I46,2)</f>
        <v>0</v>
      </c>
      <c r="T46" s="42" t="n">
        <f aca="false">ROUND(AD46-J46,2)</f>
        <v>0</v>
      </c>
      <c r="U46" s="42" t="n">
        <f aca="false">ROUND(AE46-K46,2)</f>
        <v>0</v>
      </c>
      <c r="V46" s="42" t="n">
        <f aca="false">ROUND(AF46-L46,2)</f>
        <v>0</v>
      </c>
      <c r="W46" s="42" t="n">
        <f aca="false">ROUND(AG46-M46,2)</f>
        <v>0</v>
      </c>
      <c r="X46" s="42" t="n">
        <f aca="false">ROUND(AH46-N46,2)</f>
        <v>0</v>
      </c>
      <c r="Y46" s="42" t="n">
        <f aca="false">ROUND(AI46-O46,2)</f>
        <v>0</v>
      </c>
      <c r="Z46" s="56" t="n">
        <f aca="false">ROUND(P45*(1+N(Debts!$D$5)/12),2)</f>
        <v>0</v>
      </c>
      <c r="AA46" s="56" t="n">
        <f aca="false">ROUND(Q45*(1+N(Debts!$D$6)/12),2)</f>
        <v>0</v>
      </c>
      <c r="AB46" s="56" t="n">
        <f aca="false">ROUND(R45*(1+N(Debts!$D$7)/12),2)</f>
        <v>0</v>
      </c>
      <c r="AC46" s="56" t="n">
        <f aca="false">ROUND(S45*(1+N(Debts!$D$8)/12),2)</f>
        <v>0</v>
      </c>
      <c r="AD46" s="56" t="n">
        <f aca="false">ROUND(T45*(1+N(Debts!$D$9)/12),2)</f>
        <v>0</v>
      </c>
      <c r="AE46" s="56" t="n">
        <f aca="false">ROUND(U45*(1+N(Debts!$D$10)/12),2)</f>
        <v>1018.14</v>
      </c>
      <c r="AF46" s="56" t="n">
        <f aca="false">ROUND(V45*(1+N(Debts!$D$11)/12),2)</f>
        <v>0</v>
      </c>
      <c r="AG46" s="56" t="n">
        <f aca="false">ROUND(W45*(1+N(Debts!$D$12)/12),2)</f>
        <v>0</v>
      </c>
      <c r="AH46" s="56" t="n">
        <f aca="false">ROUND(X45*(1+N(Debts!$D$13)/12),2)</f>
        <v>0</v>
      </c>
      <c r="AI46" s="56" t="n">
        <f aca="false">ROUND(Y45*(1+N(Debts!$D$14)/12),2)</f>
        <v>0</v>
      </c>
      <c r="AJ46" s="56" t="n">
        <f aca="false">MIN(Z46,MAX(0,N(Debts!$E$5)))</f>
        <v>0</v>
      </c>
      <c r="AK46" s="56" t="n">
        <f aca="false">MIN(AA46,MAX(0,N(Debts!$E$6)))</f>
        <v>0</v>
      </c>
      <c r="AL46" s="56" t="n">
        <f aca="false">MIN(AB46,MAX(0,N(Debts!$E$7)))</f>
        <v>0</v>
      </c>
      <c r="AM46" s="56" t="n">
        <f aca="false">MIN(AC46,MAX(0,N(Debts!$E$8)))</f>
        <v>0</v>
      </c>
      <c r="AN46" s="56" t="n">
        <f aca="false">MIN(AD46,MAX(0,N(Debts!$E$9)))</f>
        <v>0</v>
      </c>
      <c r="AO46" s="56" t="n">
        <f aca="false">MIN(AE46,MAX(0,N(Debts!$E$10)))</f>
        <v>210</v>
      </c>
      <c r="AP46" s="56" t="n">
        <f aca="false">MIN(AF46,MAX(0,N(Debts!$E$11)))</f>
        <v>0</v>
      </c>
      <c r="AQ46" s="56" t="n">
        <f aca="false">MIN(AG46,MAX(0,N(Debts!$E$12)))</f>
        <v>0</v>
      </c>
      <c r="AR46" s="56" t="n">
        <f aca="false">MIN(AH46,MAX(0,N(Debts!$E$13)))</f>
        <v>0</v>
      </c>
      <c r="AS46" s="56" t="n">
        <f aca="false">MIN(AI46,MAX(0,N(Debts!$E$14)))</f>
        <v>0</v>
      </c>
    </row>
    <row r="47" customFormat="false" ht="15" hidden="false" customHeight="false" outlineLevel="0" collapsed="false">
      <c r="A47" s="53" t="n">
        <v>43</v>
      </c>
      <c r="B47" s="54" t="n">
        <f aca="false">EDATE('Start Here'!$B$8,42)</f>
        <v>47604</v>
      </c>
      <c r="C47" s="42" t="n">
        <f aca="false">SUM(F47:O47)</f>
        <v>0</v>
      </c>
      <c r="D47" s="42" t="n">
        <f aca="false">ROUND(SUM($Z47:$AI47)-SUM(P46:Y46),2)</f>
        <v>0</v>
      </c>
      <c r="E47" s="55" t="n">
        <f aca="false">SUM(P47:Y47)</f>
        <v>0</v>
      </c>
      <c r="F47" s="42" t="n">
        <f aca="false">AJ47+MIN(Z47-AJ47,MAX(0,'Start Here'!$B$10-SUM($AJ47:$AS47)-SUMPRODUCT(($Z$3:$AI$3&lt;Z$3)*($Z47:$AI47-$AJ47:$AS47))))</f>
        <v>0</v>
      </c>
      <c r="G47" s="42" t="n">
        <f aca="false">AK47+MIN(AA47-AK47,MAX(0,'Start Here'!$B$10-SUM($AJ47:$AS47)-SUMPRODUCT(($Z$3:$AI$3&lt;AA$3)*($Z47:$AI47-$AJ47:$AS47))))</f>
        <v>0</v>
      </c>
      <c r="H47" s="42" t="n">
        <f aca="false">AL47+MIN(AB47-AL47,MAX(0,'Start Here'!$B$10-SUM($AJ47:$AS47)-SUMPRODUCT(($Z$3:$AI$3&lt;AB$3)*($Z47:$AI47-$AJ47:$AS47))))</f>
        <v>0</v>
      </c>
      <c r="I47" s="42" t="n">
        <f aca="false">AM47+MIN(AC47-AM47,MAX(0,'Start Here'!$B$10-SUM($AJ47:$AS47)-SUMPRODUCT(($Z$3:$AI$3&lt;AC$3)*($Z47:$AI47-$AJ47:$AS47))))</f>
        <v>0</v>
      </c>
      <c r="J47" s="42" t="n">
        <f aca="false">AN47+MIN(AD47-AN47,MAX(0,'Start Here'!$B$10-SUM($AJ47:$AS47)-SUMPRODUCT(($Z$3:$AI$3&lt;AD$3)*($Z47:$AI47-$AJ47:$AS47))))</f>
        <v>0</v>
      </c>
      <c r="K47" s="42" t="n">
        <f aca="false">AO47+MIN(AE47-AO47,MAX(0,'Start Here'!$B$10-SUM($AJ47:$AS47)-SUMPRODUCT(($Z$3:$AI$3&lt;AE$3)*($Z47:$AI47-$AJ47:$AS47))))</f>
        <v>0</v>
      </c>
      <c r="L47" s="42" t="n">
        <f aca="false">AP47+MIN(AF47-AP47,MAX(0,'Start Here'!$B$10-SUM($AJ47:$AS47)-SUMPRODUCT(($Z$3:$AI$3&lt;AF$3)*($Z47:$AI47-$AJ47:$AS47))))</f>
        <v>0</v>
      </c>
      <c r="M47" s="42" t="n">
        <f aca="false">AQ47+MIN(AG47-AQ47,MAX(0,'Start Here'!$B$10-SUM($AJ47:$AS47)-SUMPRODUCT(($Z$3:$AI$3&lt;AG$3)*($Z47:$AI47-$AJ47:$AS47))))</f>
        <v>0</v>
      </c>
      <c r="N47" s="42" t="n">
        <f aca="false">AR47+MIN(AH47-AR47,MAX(0,'Start Here'!$B$10-SUM($AJ47:$AS47)-SUMPRODUCT(($Z$3:$AI$3&lt;AH$3)*($Z47:$AI47-$AJ47:$AS47))))</f>
        <v>0</v>
      </c>
      <c r="O47" s="42" t="n">
        <f aca="false">AS47+MIN(AI47-AS47,MAX(0,'Start Here'!$B$10-SUM($AJ47:$AS47)-SUMPRODUCT(($Z$3:$AI$3&lt;AI$3)*($Z47:$AI47-$AJ47:$AS47))))</f>
        <v>0</v>
      </c>
      <c r="P47" s="42" t="n">
        <f aca="false">ROUND(Z47-F47,2)</f>
        <v>0</v>
      </c>
      <c r="Q47" s="42" t="n">
        <f aca="false">ROUND(AA47-G47,2)</f>
        <v>0</v>
      </c>
      <c r="R47" s="42" t="n">
        <f aca="false">ROUND(AB47-H47,2)</f>
        <v>0</v>
      </c>
      <c r="S47" s="42" t="n">
        <f aca="false">ROUND(AC47-I47,2)</f>
        <v>0</v>
      </c>
      <c r="T47" s="42" t="n">
        <f aca="false">ROUND(AD47-J47,2)</f>
        <v>0</v>
      </c>
      <c r="U47" s="42" t="n">
        <f aca="false">ROUND(AE47-K47,2)</f>
        <v>0</v>
      </c>
      <c r="V47" s="42" t="n">
        <f aca="false">ROUND(AF47-L47,2)</f>
        <v>0</v>
      </c>
      <c r="W47" s="42" t="n">
        <f aca="false">ROUND(AG47-M47,2)</f>
        <v>0</v>
      </c>
      <c r="X47" s="42" t="n">
        <f aca="false">ROUND(AH47-N47,2)</f>
        <v>0</v>
      </c>
      <c r="Y47" s="42" t="n">
        <f aca="false">ROUND(AI47-O47,2)</f>
        <v>0</v>
      </c>
      <c r="Z47" s="56" t="n">
        <f aca="false">ROUND(P46*(1+N(Debts!$D$5)/12),2)</f>
        <v>0</v>
      </c>
      <c r="AA47" s="56" t="n">
        <f aca="false">ROUND(Q46*(1+N(Debts!$D$6)/12),2)</f>
        <v>0</v>
      </c>
      <c r="AB47" s="56" t="n">
        <f aca="false">ROUND(R46*(1+N(Debts!$D$7)/12),2)</f>
        <v>0</v>
      </c>
      <c r="AC47" s="56" t="n">
        <f aca="false">ROUND(S46*(1+N(Debts!$D$8)/12),2)</f>
        <v>0</v>
      </c>
      <c r="AD47" s="56" t="n">
        <f aca="false">ROUND(T46*(1+N(Debts!$D$9)/12),2)</f>
        <v>0</v>
      </c>
      <c r="AE47" s="56" t="n">
        <f aca="false">ROUND(U46*(1+N(Debts!$D$10)/12),2)</f>
        <v>0</v>
      </c>
      <c r="AF47" s="56" t="n">
        <f aca="false">ROUND(V46*(1+N(Debts!$D$11)/12),2)</f>
        <v>0</v>
      </c>
      <c r="AG47" s="56" t="n">
        <f aca="false">ROUND(W46*(1+N(Debts!$D$12)/12),2)</f>
        <v>0</v>
      </c>
      <c r="AH47" s="56" t="n">
        <f aca="false">ROUND(X46*(1+N(Debts!$D$13)/12),2)</f>
        <v>0</v>
      </c>
      <c r="AI47" s="56" t="n">
        <f aca="false">ROUND(Y46*(1+N(Debts!$D$14)/12),2)</f>
        <v>0</v>
      </c>
      <c r="AJ47" s="56" t="n">
        <f aca="false">MIN(Z47,MAX(0,N(Debts!$E$5)))</f>
        <v>0</v>
      </c>
      <c r="AK47" s="56" t="n">
        <f aca="false">MIN(AA47,MAX(0,N(Debts!$E$6)))</f>
        <v>0</v>
      </c>
      <c r="AL47" s="56" t="n">
        <f aca="false">MIN(AB47,MAX(0,N(Debts!$E$7)))</f>
        <v>0</v>
      </c>
      <c r="AM47" s="56" t="n">
        <f aca="false">MIN(AC47,MAX(0,N(Debts!$E$8)))</f>
        <v>0</v>
      </c>
      <c r="AN47" s="56" t="n">
        <f aca="false">MIN(AD47,MAX(0,N(Debts!$E$9)))</f>
        <v>0</v>
      </c>
      <c r="AO47" s="56" t="n">
        <f aca="false">MIN(AE47,MAX(0,N(Debts!$E$10)))</f>
        <v>0</v>
      </c>
      <c r="AP47" s="56" t="n">
        <f aca="false">MIN(AF47,MAX(0,N(Debts!$E$11)))</f>
        <v>0</v>
      </c>
      <c r="AQ47" s="56" t="n">
        <f aca="false">MIN(AG47,MAX(0,N(Debts!$E$12)))</f>
        <v>0</v>
      </c>
      <c r="AR47" s="56" t="n">
        <f aca="false">MIN(AH47,MAX(0,N(Debts!$E$13)))</f>
        <v>0</v>
      </c>
      <c r="AS47" s="56" t="n">
        <f aca="false">MIN(AI47,MAX(0,N(Debts!$E$14)))</f>
        <v>0</v>
      </c>
    </row>
    <row r="48" customFormat="false" ht="15" hidden="false" customHeight="false" outlineLevel="0" collapsed="false">
      <c r="A48" s="53" t="n">
        <v>44</v>
      </c>
      <c r="B48" s="54" t="n">
        <f aca="false">EDATE('Start Here'!$B$8,43)</f>
        <v>47635</v>
      </c>
      <c r="C48" s="42" t="n">
        <f aca="false">SUM(F48:O48)</f>
        <v>0</v>
      </c>
      <c r="D48" s="42" t="n">
        <f aca="false">ROUND(SUM($Z48:$AI48)-SUM(P47:Y47),2)</f>
        <v>0</v>
      </c>
      <c r="E48" s="55" t="n">
        <f aca="false">SUM(P48:Y48)</f>
        <v>0</v>
      </c>
      <c r="F48" s="42" t="n">
        <f aca="false">AJ48+MIN(Z48-AJ48,MAX(0,'Start Here'!$B$10-SUM($AJ48:$AS48)-SUMPRODUCT(($Z$3:$AI$3&lt;Z$3)*($Z48:$AI48-$AJ48:$AS48))))</f>
        <v>0</v>
      </c>
      <c r="G48" s="42" t="n">
        <f aca="false">AK48+MIN(AA48-AK48,MAX(0,'Start Here'!$B$10-SUM($AJ48:$AS48)-SUMPRODUCT(($Z$3:$AI$3&lt;AA$3)*($Z48:$AI48-$AJ48:$AS48))))</f>
        <v>0</v>
      </c>
      <c r="H48" s="42" t="n">
        <f aca="false">AL48+MIN(AB48-AL48,MAX(0,'Start Here'!$B$10-SUM($AJ48:$AS48)-SUMPRODUCT(($Z$3:$AI$3&lt;AB$3)*($Z48:$AI48-$AJ48:$AS48))))</f>
        <v>0</v>
      </c>
      <c r="I48" s="42" t="n">
        <f aca="false">AM48+MIN(AC48-AM48,MAX(0,'Start Here'!$B$10-SUM($AJ48:$AS48)-SUMPRODUCT(($Z$3:$AI$3&lt;AC$3)*($Z48:$AI48-$AJ48:$AS48))))</f>
        <v>0</v>
      </c>
      <c r="J48" s="42" t="n">
        <f aca="false">AN48+MIN(AD48-AN48,MAX(0,'Start Here'!$B$10-SUM($AJ48:$AS48)-SUMPRODUCT(($Z$3:$AI$3&lt;AD$3)*($Z48:$AI48-$AJ48:$AS48))))</f>
        <v>0</v>
      </c>
      <c r="K48" s="42" t="n">
        <f aca="false">AO48+MIN(AE48-AO48,MAX(0,'Start Here'!$B$10-SUM($AJ48:$AS48)-SUMPRODUCT(($Z$3:$AI$3&lt;AE$3)*($Z48:$AI48-$AJ48:$AS48))))</f>
        <v>0</v>
      </c>
      <c r="L48" s="42" t="n">
        <f aca="false">AP48+MIN(AF48-AP48,MAX(0,'Start Here'!$B$10-SUM($AJ48:$AS48)-SUMPRODUCT(($Z$3:$AI$3&lt;AF$3)*($Z48:$AI48-$AJ48:$AS48))))</f>
        <v>0</v>
      </c>
      <c r="M48" s="42" t="n">
        <f aca="false">AQ48+MIN(AG48-AQ48,MAX(0,'Start Here'!$B$10-SUM($AJ48:$AS48)-SUMPRODUCT(($Z$3:$AI$3&lt;AG$3)*($Z48:$AI48-$AJ48:$AS48))))</f>
        <v>0</v>
      </c>
      <c r="N48" s="42" t="n">
        <f aca="false">AR48+MIN(AH48-AR48,MAX(0,'Start Here'!$B$10-SUM($AJ48:$AS48)-SUMPRODUCT(($Z$3:$AI$3&lt;AH$3)*($Z48:$AI48-$AJ48:$AS48))))</f>
        <v>0</v>
      </c>
      <c r="O48" s="42" t="n">
        <f aca="false">AS48+MIN(AI48-AS48,MAX(0,'Start Here'!$B$10-SUM($AJ48:$AS48)-SUMPRODUCT(($Z$3:$AI$3&lt;AI$3)*($Z48:$AI48-$AJ48:$AS48))))</f>
        <v>0</v>
      </c>
      <c r="P48" s="42" t="n">
        <f aca="false">ROUND(Z48-F48,2)</f>
        <v>0</v>
      </c>
      <c r="Q48" s="42" t="n">
        <f aca="false">ROUND(AA48-G48,2)</f>
        <v>0</v>
      </c>
      <c r="R48" s="42" t="n">
        <f aca="false">ROUND(AB48-H48,2)</f>
        <v>0</v>
      </c>
      <c r="S48" s="42" t="n">
        <f aca="false">ROUND(AC48-I48,2)</f>
        <v>0</v>
      </c>
      <c r="T48" s="42" t="n">
        <f aca="false">ROUND(AD48-J48,2)</f>
        <v>0</v>
      </c>
      <c r="U48" s="42" t="n">
        <f aca="false">ROUND(AE48-K48,2)</f>
        <v>0</v>
      </c>
      <c r="V48" s="42" t="n">
        <f aca="false">ROUND(AF48-L48,2)</f>
        <v>0</v>
      </c>
      <c r="W48" s="42" t="n">
        <f aca="false">ROUND(AG48-M48,2)</f>
        <v>0</v>
      </c>
      <c r="X48" s="42" t="n">
        <f aca="false">ROUND(AH48-N48,2)</f>
        <v>0</v>
      </c>
      <c r="Y48" s="42" t="n">
        <f aca="false">ROUND(AI48-O48,2)</f>
        <v>0</v>
      </c>
      <c r="Z48" s="56" t="n">
        <f aca="false">ROUND(P47*(1+N(Debts!$D$5)/12),2)</f>
        <v>0</v>
      </c>
      <c r="AA48" s="56" t="n">
        <f aca="false">ROUND(Q47*(1+N(Debts!$D$6)/12),2)</f>
        <v>0</v>
      </c>
      <c r="AB48" s="56" t="n">
        <f aca="false">ROUND(R47*(1+N(Debts!$D$7)/12),2)</f>
        <v>0</v>
      </c>
      <c r="AC48" s="56" t="n">
        <f aca="false">ROUND(S47*(1+N(Debts!$D$8)/12),2)</f>
        <v>0</v>
      </c>
      <c r="AD48" s="56" t="n">
        <f aca="false">ROUND(T47*(1+N(Debts!$D$9)/12),2)</f>
        <v>0</v>
      </c>
      <c r="AE48" s="56" t="n">
        <f aca="false">ROUND(U47*(1+N(Debts!$D$10)/12),2)</f>
        <v>0</v>
      </c>
      <c r="AF48" s="56" t="n">
        <f aca="false">ROUND(V47*(1+N(Debts!$D$11)/12),2)</f>
        <v>0</v>
      </c>
      <c r="AG48" s="56" t="n">
        <f aca="false">ROUND(W47*(1+N(Debts!$D$12)/12),2)</f>
        <v>0</v>
      </c>
      <c r="AH48" s="56" t="n">
        <f aca="false">ROUND(X47*(1+N(Debts!$D$13)/12),2)</f>
        <v>0</v>
      </c>
      <c r="AI48" s="56" t="n">
        <f aca="false">ROUND(Y47*(1+N(Debts!$D$14)/12),2)</f>
        <v>0</v>
      </c>
      <c r="AJ48" s="56" t="n">
        <f aca="false">MIN(Z48,MAX(0,N(Debts!$E$5)))</f>
        <v>0</v>
      </c>
      <c r="AK48" s="56" t="n">
        <f aca="false">MIN(AA48,MAX(0,N(Debts!$E$6)))</f>
        <v>0</v>
      </c>
      <c r="AL48" s="56" t="n">
        <f aca="false">MIN(AB48,MAX(0,N(Debts!$E$7)))</f>
        <v>0</v>
      </c>
      <c r="AM48" s="56" t="n">
        <f aca="false">MIN(AC48,MAX(0,N(Debts!$E$8)))</f>
        <v>0</v>
      </c>
      <c r="AN48" s="56" t="n">
        <f aca="false">MIN(AD48,MAX(0,N(Debts!$E$9)))</f>
        <v>0</v>
      </c>
      <c r="AO48" s="56" t="n">
        <f aca="false">MIN(AE48,MAX(0,N(Debts!$E$10)))</f>
        <v>0</v>
      </c>
      <c r="AP48" s="56" t="n">
        <f aca="false">MIN(AF48,MAX(0,N(Debts!$E$11)))</f>
        <v>0</v>
      </c>
      <c r="AQ48" s="56" t="n">
        <f aca="false">MIN(AG48,MAX(0,N(Debts!$E$12)))</f>
        <v>0</v>
      </c>
      <c r="AR48" s="56" t="n">
        <f aca="false">MIN(AH48,MAX(0,N(Debts!$E$13)))</f>
        <v>0</v>
      </c>
      <c r="AS48" s="56" t="n">
        <f aca="false">MIN(AI48,MAX(0,N(Debts!$E$14)))</f>
        <v>0</v>
      </c>
    </row>
    <row r="49" customFormat="false" ht="15" hidden="false" customHeight="false" outlineLevel="0" collapsed="false">
      <c r="A49" s="53" t="n">
        <v>45</v>
      </c>
      <c r="B49" s="54" t="n">
        <f aca="false">EDATE('Start Here'!$B$8,44)</f>
        <v>47665</v>
      </c>
      <c r="C49" s="42" t="n">
        <f aca="false">SUM(F49:O49)</f>
        <v>0</v>
      </c>
      <c r="D49" s="42" t="n">
        <f aca="false">ROUND(SUM($Z49:$AI49)-SUM(P48:Y48),2)</f>
        <v>0</v>
      </c>
      <c r="E49" s="55" t="n">
        <f aca="false">SUM(P49:Y49)</f>
        <v>0</v>
      </c>
      <c r="F49" s="42" t="n">
        <f aca="false">AJ49+MIN(Z49-AJ49,MAX(0,'Start Here'!$B$10-SUM($AJ49:$AS49)-SUMPRODUCT(($Z$3:$AI$3&lt;Z$3)*($Z49:$AI49-$AJ49:$AS49))))</f>
        <v>0</v>
      </c>
      <c r="G49" s="42" t="n">
        <f aca="false">AK49+MIN(AA49-AK49,MAX(0,'Start Here'!$B$10-SUM($AJ49:$AS49)-SUMPRODUCT(($Z$3:$AI$3&lt;AA$3)*($Z49:$AI49-$AJ49:$AS49))))</f>
        <v>0</v>
      </c>
      <c r="H49" s="42" t="n">
        <f aca="false">AL49+MIN(AB49-AL49,MAX(0,'Start Here'!$B$10-SUM($AJ49:$AS49)-SUMPRODUCT(($Z$3:$AI$3&lt;AB$3)*($Z49:$AI49-$AJ49:$AS49))))</f>
        <v>0</v>
      </c>
      <c r="I49" s="42" t="n">
        <f aca="false">AM49+MIN(AC49-AM49,MAX(0,'Start Here'!$B$10-SUM($AJ49:$AS49)-SUMPRODUCT(($Z$3:$AI$3&lt;AC$3)*($Z49:$AI49-$AJ49:$AS49))))</f>
        <v>0</v>
      </c>
      <c r="J49" s="42" t="n">
        <f aca="false">AN49+MIN(AD49-AN49,MAX(0,'Start Here'!$B$10-SUM($AJ49:$AS49)-SUMPRODUCT(($Z$3:$AI$3&lt;AD$3)*($Z49:$AI49-$AJ49:$AS49))))</f>
        <v>0</v>
      </c>
      <c r="K49" s="42" t="n">
        <f aca="false">AO49+MIN(AE49-AO49,MAX(0,'Start Here'!$B$10-SUM($AJ49:$AS49)-SUMPRODUCT(($Z$3:$AI$3&lt;AE$3)*($Z49:$AI49-$AJ49:$AS49))))</f>
        <v>0</v>
      </c>
      <c r="L49" s="42" t="n">
        <f aca="false">AP49+MIN(AF49-AP49,MAX(0,'Start Here'!$B$10-SUM($AJ49:$AS49)-SUMPRODUCT(($Z$3:$AI$3&lt;AF$3)*($Z49:$AI49-$AJ49:$AS49))))</f>
        <v>0</v>
      </c>
      <c r="M49" s="42" t="n">
        <f aca="false">AQ49+MIN(AG49-AQ49,MAX(0,'Start Here'!$B$10-SUM($AJ49:$AS49)-SUMPRODUCT(($Z$3:$AI$3&lt;AG$3)*($Z49:$AI49-$AJ49:$AS49))))</f>
        <v>0</v>
      </c>
      <c r="N49" s="42" t="n">
        <f aca="false">AR49+MIN(AH49-AR49,MAX(0,'Start Here'!$B$10-SUM($AJ49:$AS49)-SUMPRODUCT(($Z$3:$AI$3&lt;AH$3)*($Z49:$AI49-$AJ49:$AS49))))</f>
        <v>0</v>
      </c>
      <c r="O49" s="42" t="n">
        <f aca="false">AS49+MIN(AI49-AS49,MAX(0,'Start Here'!$B$10-SUM($AJ49:$AS49)-SUMPRODUCT(($Z$3:$AI$3&lt;AI$3)*($Z49:$AI49-$AJ49:$AS49))))</f>
        <v>0</v>
      </c>
      <c r="P49" s="42" t="n">
        <f aca="false">ROUND(Z49-F49,2)</f>
        <v>0</v>
      </c>
      <c r="Q49" s="42" t="n">
        <f aca="false">ROUND(AA49-G49,2)</f>
        <v>0</v>
      </c>
      <c r="R49" s="42" t="n">
        <f aca="false">ROUND(AB49-H49,2)</f>
        <v>0</v>
      </c>
      <c r="S49" s="42" t="n">
        <f aca="false">ROUND(AC49-I49,2)</f>
        <v>0</v>
      </c>
      <c r="T49" s="42" t="n">
        <f aca="false">ROUND(AD49-J49,2)</f>
        <v>0</v>
      </c>
      <c r="U49" s="42" t="n">
        <f aca="false">ROUND(AE49-K49,2)</f>
        <v>0</v>
      </c>
      <c r="V49" s="42" t="n">
        <f aca="false">ROUND(AF49-L49,2)</f>
        <v>0</v>
      </c>
      <c r="W49" s="42" t="n">
        <f aca="false">ROUND(AG49-M49,2)</f>
        <v>0</v>
      </c>
      <c r="X49" s="42" t="n">
        <f aca="false">ROUND(AH49-N49,2)</f>
        <v>0</v>
      </c>
      <c r="Y49" s="42" t="n">
        <f aca="false">ROUND(AI49-O49,2)</f>
        <v>0</v>
      </c>
      <c r="Z49" s="56" t="n">
        <f aca="false">ROUND(P48*(1+N(Debts!$D$5)/12),2)</f>
        <v>0</v>
      </c>
      <c r="AA49" s="56" t="n">
        <f aca="false">ROUND(Q48*(1+N(Debts!$D$6)/12),2)</f>
        <v>0</v>
      </c>
      <c r="AB49" s="56" t="n">
        <f aca="false">ROUND(R48*(1+N(Debts!$D$7)/12),2)</f>
        <v>0</v>
      </c>
      <c r="AC49" s="56" t="n">
        <f aca="false">ROUND(S48*(1+N(Debts!$D$8)/12),2)</f>
        <v>0</v>
      </c>
      <c r="AD49" s="56" t="n">
        <f aca="false">ROUND(T48*(1+N(Debts!$D$9)/12),2)</f>
        <v>0</v>
      </c>
      <c r="AE49" s="56" t="n">
        <f aca="false">ROUND(U48*(1+N(Debts!$D$10)/12),2)</f>
        <v>0</v>
      </c>
      <c r="AF49" s="56" t="n">
        <f aca="false">ROUND(V48*(1+N(Debts!$D$11)/12),2)</f>
        <v>0</v>
      </c>
      <c r="AG49" s="56" t="n">
        <f aca="false">ROUND(W48*(1+N(Debts!$D$12)/12),2)</f>
        <v>0</v>
      </c>
      <c r="AH49" s="56" t="n">
        <f aca="false">ROUND(X48*(1+N(Debts!$D$13)/12),2)</f>
        <v>0</v>
      </c>
      <c r="AI49" s="56" t="n">
        <f aca="false">ROUND(Y48*(1+N(Debts!$D$14)/12),2)</f>
        <v>0</v>
      </c>
      <c r="AJ49" s="56" t="n">
        <f aca="false">MIN(Z49,MAX(0,N(Debts!$E$5)))</f>
        <v>0</v>
      </c>
      <c r="AK49" s="56" t="n">
        <f aca="false">MIN(AA49,MAX(0,N(Debts!$E$6)))</f>
        <v>0</v>
      </c>
      <c r="AL49" s="56" t="n">
        <f aca="false">MIN(AB49,MAX(0,N(Debts!$E$7)))</f>
        <v>0</v>
      </c>
      <c r="AM49" s="56" t="n">
        <f aca="false">MIN(AC49,MAX(0,N(Debts!$E$8)))</f>
        <v>0</v>
      </c>
      <c r="AN49" s="56" t="n">
        <f aca="false">MIN(AD49,MAX(0,N(Debts!$E$9)))</f>
        <v>0</v>
      </c>
      <c r="AO49" s="56" t="n">
        <f aca="false">MIN(AE49,MAX(0,N(Debts!$E$10)))</f>
        <v>0</v>
      </c>
      <c r="AP49" s="56" t="n">
        <f aca="false">MIN(AF49,MAX(0,N(Debts!$E$11)))</f>
        <v>0</v>
      </c>
      <c r="AQ49" s="56" t="n">
        <f aca="false">MIN(AG49,MAX(0,N(Debts!$E$12)))</f>
        <v>0</v>
      </c>
      <c r="AR49" s="56" t="n">
        <f aca="false">MIN(AH49,MAX(0,N(Debts!$E$13)))</f>
        <v>0</v>
      </c>
      <c r="AS49" s="56" t="n">
        <f aca="false">MIN(AI49,MAX(0,N(Debts!$E$14)))</f>
        <v>0</v>
      </c>
    </row>
    <row r="50" customFormat="false" ht="15" hidden="false" customHeight="false" outlineLevel="0" collapsed="false">
      <c r="A50" s="53" t="n">
        <v>46</v>
      </c>
      <c r="B50" s="54" t="n">
        <f aca="false">EDATE('Start Here'!$B$8,45)</f>
        <v>47696</v>
      </c>
      <c r="C50" s="42" t="n">
        <f aca="false">SUM(F50:O50)</f>
        <v>0</v>
      </c>
      <c r="D50" s="42" t="n">
        <f aca="false">ROUND(SUM($Z50:$AI50)-SUM(P49:Y49),2)</f>
        <v>0</v>
      </c>
      <c r="E50" s="55" t="n">
        <f aca="false">SUM(P50:Y50)</f>
        <v>0</v>
      </c>
      <c r="F50" s="42" t="n">
        <f aca="false">AJ50+MIN(Z50-AJ50,MAX(0,'Start Here'!$B$10-SUM($AJ50:$AS50)-SUMPRODUCT(($Z$3:$AI$3&lt;Z$3)*($Z50:$AI50-$AJ50:$AS50))))</f>
        <v>0</v>
      </c>
      <c r="G50" s="42" t="n">
        <f aca="false">AK50+MIN(AA50-AK50,MAX(0,'Start Here'!$B$10-SUM($AJ50:$AS50)-SUMPRODUCT(($Z$3:$AI$3&lt;AA$3)*($Z50:$AI50-$AJ50:$AS50))))</f>
        <v>0</v>
      </c>
      <c r="H50" s="42" t="n">
        <f aca="false">AL50+MIN(AB50-AL50,MAX(0,'Start Here'!$B$10-SUM($AJ50:$AS50)-SUMPRODUCT(($Z$3:$AI$3&lt;AB$3)*($Z50:$AI50-$AJ50:$AS50))))</f>
        <v>0</v>
      </c>
      <c r="I50" s="42" t="n">
        <f aca="false">AM50+MIN(AC50-AM50,MAX(0,'Start Here'!$B$10-SUM($AJ50:$AS50)-SUMPRODUCT(($Z$3:$AI$3&lt;AC$3)*($Z50:$AI50-$AJ50:$AS50))))</f>
        <v>0</v>
      </c>
      <c r="J50" s="42" t="n">
        <f aca="false">AN50+MIN(AD50-AN50,MAX(0,'Start Here'!$B$10-SUM($AJ50:$AS50)-SUMPRODUCT(($Z$3:$AI$3&lt;AD$3)*($Z50:$AI50-$AJ50:$AS50))))</f>
        <v>0</v>
      </c>
      <c r="K50" s="42" t="n">
        <f aca="false">AO50+MIN(AE50-AO50,MAX(0,'Start Here'!$B$10-SUM($AJ50:$AS50)-SUMPRODUCT(($Z$3:$AI$3&lt;AE$3)*($Z50:$AI50-$AJ50:$AS50))))</f>
        <v>0</v>
      </c>
      <c r="L50" s="42" t="n">
        <f aca="false">AP50+MIN(AF50-AP50,MAX(0,'Start Here'!$B$10-SUM($AJ50:$AS50)-SUMPRODUCT(($Z$3:$AI$3&lt;AF$3)*($Z50:$AI50-$AJ50:$AS50))))</f>
        <v>0</v>
      </c>
      <c r="M50" s="42" t="n">
        <f aca="false">AQ50+MIN(AG50-AQ50,MAX(0,'Start Here'!$B$10-SUM($AJ50:$AS50)-SUMPRODUCT(($Z$3:$AI$3&lt;AG$3)*($Z50:$AI50-$AJ50:$AS50))))</f>
        <v>0</v>
      </c>
      <c r="N50" s="42" t="n">
        <f aca="false">AR50+MIN(AH50-AR50,MAX(0,'Start Here'!$B$10-SUM($AJ50:$AS50)-SUMPRODUCT(($Z$3:$AI$3&lt;AH$3)*($Z50:$AI50-$AJ50:$AS50))))</f>
        <v>0</v>
      </c>
      <c r="O50" s="42" t="n">
        <f aca="false">AS50+MIN(AI50-AS50,MAX(0,'Start Here'!$B$10-SUM($AJ50:$AS50)-SUMPRODUCT(($Z$3:$AI$3&lt;AI$3)*($Z50:$AI50-$AJ50:$AS50))))</f>
        <v>0</v>
      </c>
      <c r="P50" s="42" t="n">
        <f aca="false">ROUND(Z50-F50,2)</f>
        <v>0</v>
      </c>
      <c r="Q50" s="42" t="n">
        <f aca="false">ROUND(AA50-G50,2)</f>
        <v>0</v>
      </c>
      <c r="R50" s="42" t="n">
        <f aca="false">ROUND(AB50-H50,2)</f>
        <v>0</v>
      </c>
      <c r="S50" s="42" t="n">
        <f aca="false">ROUND(AC50-I50,2)</f>
        <v>0</v>
      </c>
      <c r="T50" s="42" t="n">
        <f aca="false">ROUND(AD50-J50,2)</f>
        <v>0</v>
      </c>
      <c r="U50" s="42" t="n">
        <f aca="false">ROUND(AE50-K50,2)</f>
        <v>0</v>
      </c>
      <c r="V50" s="42" t="n">
        <f aca="false">ROUND(AF50-L50,2)</f>
        <v>0</v>
      </c>
      <c r="W50" s="42" t="n">
        <f aca="false">ROUND(AG50-M50,2)</f>
        <v>0</v>
      </c>
      <c r="X50" s="42" t="n">
        <f aca="false">ROUND(AH50-N50,2)</f>
        <v>0</v>
      </c>
      <c r="Y50" s="42" t="n">
        <f aca="false">ROUND(AI50-O50,2)</f>
        <v>0</v>
      </c>
      <c r="Z50" s="56" t="n">
        <f aca="false">ROUND(P49*(1+N(Debts!$D$5)/12),2)</f>
        <v>0</v>
      </c>
      <c r="AA50" s="56" t="n">
        <f aca="false">ROUND(Q49*(1+N(Debts!$D$6)/12),2)</f>
        <v>0</v>
      </c>
      <c r="AB50" s="56" t="n">
        <f aca="false">ROUND(R49*(1+N(Debts!$D$7)/12),2)</f>
        <v>0</v>
      </c>
      <c r="AC50" s="56" t="n">
        <f aca="false">ROUND(S49*(1+N(Debts!$D$8)/12),2)</f>
        <v>0</v>
      </c>
      <c r="AD50" s="56" t="n">
        <f aca="false">ROUND(T49*(1+N(Debts!$D$9)/12),2)</f>
        <v>0</v>
      </c>
      <c r="AE50" s="56" t="n">
        <f aca="false">ROUND(U49*(1+N(Debts!$D$10)/12),2)</f>
        <v>0</v>
      </c>
      <c r="AF50" s="56" t="n">
        <f aca="false">ROUND(V49*(1+N(Debts!$D$11)/12),2)</f>
        <v>0</v>
      </c>
      <c r="AG50" s="56" t="n">
        <f aca="false">ROUND(W49*(1+N(Debts!$D$12)/12),2)</f>
        <v>0</v>
      </c>
      <c r="AH50" s="56" t="n">
        <f aca="false">ROUND(X49*(1+N(Debts!$D$13)/12),2)</f>
        <v>0</v>
      </c>
      <c r="AI50" s="56" t="n">
        <f aca="false">ROUND(Y49*(1+N(Debts!$D$14)/12),2)</f>
        <v>0</v>
      </c>
      <c r="AJ50" s="56" t="n">
        <f aca="false">MIN(Z50,MAX(0,N(Debts!$E$5)))</f>
        <v>0</v>
      </c>
      <c r="AK50" s="56" t="n">
        <f aca="false">MIN(AA50,MAX(0,N(Debts!$E$6)))</f>
        <v>0</v>
      </c>
      <c r="AL50" s="56" t="n">
        <f aca="false">MIN(AB50,MAX(0,N(Debts!$E$7)))</f>
        <v>0</v>
      </c>
      <c r="AM50" s="56" t="n">
        <f aca="false">MIN(AC50,MAX(0,N(Debts!$E$8)))</f>
        <v>0</v>
      </c>
      <c r="AN50" s="56" t="n">
        <f aca="false">MIN(AD50,MAX(0,N(Debts!$E$9)))</f>
        <v>0</v>
      </c>
      <c r="AO50" s="56" t="n">
        <f aca="false">MIN(AE50,MAX(0,N(Debts!$E$10)))</f>
        <v>0</v>
      </c>
      <c r="AP50" s="56" t="n">
        <f aca="false">MIN(AF50,MAX(0,N(Debts!$E$11)))</f>
        <v>0</v>
      </c>
      <c r="AQ50" s="56" t="n">
        <f aca="false">MIN(AG50,MAX(0,N(Debts!$E$12)))</f>
        <v>0</v>
      </c>
      <c r="AR50" s="56" t="n">
        <f aca="false">MIN(AH50,MAX(0,N(Debts!$E$13)))</f>
        <v>0</v>
      </c>
      <c r="AS50" s="56" t="n">
        <f aca="false">MIN(AI50,MAX(0,N(Debts!$E$14)))</f>
        <v>0</v>
      </c>
    </row>
    <row r="51" customFormat="false" ht="15" hidden="false" customHeight="false" outlineLevel="0" collapsed="false">
      <c r="A51" s="53" t="n">
        <v>47</v>
      </c>
      <c r="B51" s="54" t="n">
        <f aca="false">EDATE('Start Here'!$B$8,46)</f>
        <v>47727</v>
      </c>
      <c r="C51" s="42" t="n">
        <f aca="false">SUM(F51:O51)</f>
        <v>0</v>
      </c>
      <c r="D51" s="42" t="n">
        <f aca="false">ROUND(SUM($Z51:$AI51)-SUM(P50:Y50),2)</f>
        <v>0</v>
      </c>
      <c r="E51" s="55" t="n">
        <f aca="false">SUM(P51:Y51)</f>
        <v>0</v>
      </c>
      <c r="F51" s="42" t="n">
        <f aca="false">AJ51+MIN(Z51-AJ51,MAX(0,'Start Here'!$B$10-SUM($AJ51:$AS51)-SUMPRODUCT(($Z$3:$AI$3&lt;Z$3)*($Z51:$AI51-$AJ51:$AS51))))</f>
        <v>0</v>
      </c>
      <c r="G51" s="42" t="n">
        <f aca="false">AK51+MIN(AA51-AK51,MAX(0,'Start Here'!$B$10-SUM($AJ51:$AS51)-SUMPRODUCT(($Z$3:$AI$3&lt;AA$3)*($Z51:$AI51-$AJ51:$AS51))))</f>
        <v>0</v>
      </c>
      <c r="H51" s="42" t="n">
        <f aca="false">AL51+MIN(AB51-AL51,MAX(0,'Start Here'!$B$10-SUM($AJ51:$AS51)-SUMPRODUCT(($Z$3:$AI$3&lt;AB$3)*($Z51:$AI51-$AJ51:$AS51))))</f>
        <v>0</v>
      </c>
      <c r="I51" s="42" t="n">
        <f aca="false">AM51+MIN(AC51-AM51,MAX(0,'Start Here'!$B$10-SUM($AJ51:$AS51)-SUMPRODUCT(($Z$3:$AI$3&lt;AC$3)*($Z51:$AI51-$AJ51:$AS51))))</f>
        <v>0</v>
      </c>
      <c r="J51" s="42" t="n">
        <f aca="false">AN51+MIN(AD51-AN51,MAX(0,'Start Here'!$B$10-SUM($AJ51:$AS51)-SUMPRODUCT(($Z$3:$AI$3&lt;AD$3)*($Z51:$AI51-$AJ51:$AS51))))</f>
        <v>0</v>
      </c>
      <c r="K51" s="42" t="n">
        <f aca="false">AO51+MIN(AE51-AO51,MAX(0,'Start Here'!$B$10-SUM($AJ51:$AS51)-SUMPRODUCT(($Z$3:$AI$3&lt;AE$3)*($Z51:$AI51-$AJ51:$AS51))))</f>
        <v>0</v>
      </c>
      <c r="L51" s="42" t="n">
        <f aca="false">AP51+MIN(AF51-AP51,MAX(0,'Start Here'!$B$10-SUM($AJ51:$AS51)-SUMPRODUCT(($Z$3:$AI$3&lt;AF$3)*($Z51:$AI51-$AJ51:$AS51))))</f>
        <v>0</v>
      </c>
      <c r="M51" s="42" t="n">
        <f aca="false">AQ51+MIN(AG51-AQ51,MAX(0,'Start Here'!$B$10-SUM($AJ51:$AS51)-SUMPRODUCT(($Z$3:$AI$3&lt;AG$3)*($Z51:$AI51-$AJ51:$AS51))))</f>
        <v>0</v>
      </c>
      <c r="N51" s="42" t="n">
        <f aca="false">AR51+MIN(AH51-AR51,MAX(0,'Start Here'!$B$10-SUM($AJ51:$AS51)-SUMPRODUCT(($Z$3:$AI$3&lt;AH$3)*($Z51:$AI51-$AJ51:$AS51))))</f>
        <v>0</v>
      </c>
      <c r="O51" s="42" t="n">
        <f aca="false">AS51+MIN(AI51-AS51,MAX(0,'Start Here'!$B$10-SUM($AJ51:$AS51)-SUMPRODUCT(($Z$3:$AI$3&lt;AI$3)*($Z51:$AI51-$AJ51:$AS51))))</f>
        <v>0</v>
      </c>
      <c r="P51" s="42" t="n">
        <f aca="false">ROUND(Z51-F51,2)</f>
        <v>0</v>
      </c>
      <c r="Q51" s="42" t="n">
        <f aca="false">ROUND(AA51-G51,2)</f>
        <v>0</v>
      </c>
      <c r="R51" s="42" t="n">
        <f aca="false">ROUND(AB51-H51,2)</f>
        <v>0</v>
      </c>
      <c r="S51" s="42" t="n">
        <f aca="false">ROUND(AC51-I51,2)</f>
        <v>0</v>
      </c>
      <c r="T51" s="42" t="n">
        <f aca="false">ROUND(AD51-J51,2)</f>
        <v>0</v>
      </c>
      <c r="U51" s="42" t="n">
        <f aca="false">ROUND(AE51-K51,2)</f>
        <v>0</v>
      </c>
      <c r="V51" s="42" t="n">
        <f aca="false">ROUND(AF51-L51,2)</f>
        <v>0</v>
      </c>
      <c r="W51" s="42" t="n">
        <f aca="false">ROUND(AG51-M51,2)</f>
        <v>0</v>
      </c>
      <c r="X51" s="42" t="n">
        <f aca="false">ROUND(AH51-N51,2)</f>
        <v>0</v>
      </c>
      <c r="Y51" s="42" t="n">
        <f aca="false">ROUND(AI51-O51,2)</f>
        <v>0</v>
      </c>
      <c r="Z51" s="56" t="n">
        <f aca="false">ROUND(P50*(1+N(Debts!$D$5)/12),2)</f>
        <v>0</v>
      </c>
      <c r="AA51" s="56" t="n">
        <f aca="false">ROUND(Q50*(1+N(Debts!$D$6)/12),2)</f>
        <v>0</v>
      </c>
      <c r="AB51" s="56" t="n">
        <f aca="false">ROUND(R50*(1+N(Debts!$D$7)/12),2)</f>
        <v>0</v>
      </c>
      <c r="AC51" s="56" t="n">
        <f aca="false">ROUND(S50*(1+N(Debts!$D$8)/12),2)</f>
        <v>0</v>
      </c>
      <c r="AD51" s="56" t="n">
        <f aca="false">ROUND(T50*(1+N(Debts!$D$9)/12),2)</f>
        <v>0</v>
      </c>
      <c r="AE51" s="56" t="n">
        <f aca="false">ROUND(U50*(1+N(Debts!$D$10)/12),2)</f>
        <v>0</v>
      </c>
      <c r="AF51" s="56" t="n">
        <f aca="false">ROUND(V50*(1+N(Debts!$D$11)/12),2)</f>
        <v>0</v>
      </c>
      <c r="AG51" s="56" t="n">
        <f aca="false">ROUND(W50*(1+N(Debts!$D$12)/12),2)</f>
        <v>0</v>
      </c>
      <c r="AH51" s="56" t="n">
        <f aca="false">ROUND(X50*(1+N(Debts!$D$13)/12),2)</f>
        <v>0</v>
      </c>
      <c r="AI51" s="56" t="n">
        <f aca="false">ROUND(Y50*(1+N(Debts!$D$14)/12),2)</f>
        <v>0</v>
      </c>
      <c r="AJ51" s="56" t="n">
        <f aca="false">MIN(Z51,MAX(0,N(Debts!$E$5)))</f>
        <v>0</v>
      </c>
      <c r="AK51" s="56" t="n">
        <f aca="false">MIN(AA51,MAX(0,N(Debts!$E$6)))</f>
        <v>0</v>
      </c>
      <c r="AL51" s="56" t="n">
        <f aca="false">MIN(AB51,MAX(0,N(Debts!$E$7)))</f>
        <v>0</v>
      </c>
      <c r="AM51" s="56" t="n">
        <f aca="false">MIN(AC51,MAX(0,N(Debts!$E$8)))</f>
        <v>0</v>
      </c>
      <c r="AN51" s="56" t="n">
        <f aca="false">MIN(AD51,MAX(0,N(Debts!$E$9)))</f>
        <v>0</v>
      </c>
      <c r="AO51" s="56" t="n">
        <f aca="false">MIN(AE51,MAX(0,N(Debts!$E$10)))</f>
        <v>0</v>
      </c>
      <c r="AP51" s="56" t="n">
        <f aca="false">MIN(AF51,MAX(0,N(Debts!$E$11)))</f>
        <v>0</v>
      </c>
      <c r="AQ51" s="56" t="n">
        <f aca="false">MIN(AG51,MAX(0,N(Debts!$E$12)))</f>
        <v>0</v>
      </c>
      <c r="AR51" s="56" t="n">
        <f aca="false">MIN(AH51,MAX(0,N(Debts!$E$13)))</f>
        <v>0</v>
      </c>
      <c r="AS51" s="56" t="n">
        <f aca="false">MIN(AI51,MAX(0,N(Debts!$E$14)))</f>
        <v>0</v>
      </c>
    </row>
    <row r="52" customFormat="false" ht="15" hidden="false" customHeight="false" outlineLevel="0" collapsed="false">
      <c r="A52" s="53" t="n">
        <v>48</v>
      </c>
      <c r="B52" s="54" t="n">
        <f aca="false">EDATE('Start Here'!$B$8,47)</f>
        <v>47757</v>
      </c>
      <c r="C52" s="42" t="n">
        <f aca="false">SUM(F52:O52)</f>
        <v>0</v>
      </c>
      <c r="D52" s="42" t="n">
        <f aca="false">ROUND(SUM($Z52:$AI52)-SUM(P51:Y51),2)</f>
        <v>0</v>
      </c>
      <c r="E52" s="55" t="n">
        <f aca="false">SUM(P52:Y52)</f>
        <v>0</v>
      </c>
      <c r="F52" s="42" t="n">
        <f aca="false">AJ52+MIN(Z52-AJ52,MAX(0,'Start Here'!$B$10-SUM($AJ52:$AS52)-SUMPRODUCT(($Z$3:$AI$3&lt;Z$3)*($Z52:$AI52-$AJ52:$AS52))))</f>
        <v>0</v>
      </c>
      <c r="G52" s="42" t="n">
        <f aca="false">AK52+MIN(AA52-AK52,MAX(0,'Start Here'!$B$10-SUM($AJ52:$AS52)-SUMPRODUCT(($Z$3:$AI$3&lt;AA$3)*($Z52:$AI52-$AJ52:$AS52))))</f>
        <v>0</v>
      </c>
      <c r="H52" s="42" t="n">
        <f aca="false">AL52+MIN(AB52-AL52,MAX(0,'Start Here'!$B$10-SUM($AJ52:$AS52)-SUMPRODUCT(($Z$3:$AI$3&lt;AB$3)*($Z52:$AI52-$AJ52:$AS52))))</f>
        <v>0</v>
      </c>
      <c r="I52" s="42" t="n">
        <f aca="false">AM52+MIN(AC52-AM52,MAX(0,'Start Here'!$B$10-SUM($AJ52:$AS52)-SUMPRODUCT(($Z$3:$AI$3&lt;AC$3)*($Z52:$AI52-$AJ52:$AS52))))</f>
        <v>0</v>
      </c>
      <c r="J52" s="42" t="n">
        <f aca="false">AN52+MIN(AD52-AN52,MAX(0,'Start Here'!$B$10-SUM($AJ52:$AS52)-SUMPRODUCT(($Z$3:$AI$3&lt;AD$3)*($Z52:$AI52-$AJ52:$AS52))))</f>
        <v>0</v>
      </c>
      <c r="K52" s="42" t="n">
        <f aca="false">AO52+MIN(AE52-AO52,MAX(0,'Start Here'!$B$10-SUM($AJ52:$AS52)-SUMPRODUCT(($Z$3:$AI$3&lt;AE$3)*($Z52:$AI52-$AJ52:$AS52))))</f>
        <v>0</v>
      </c>
      <c r="L52" s="42" t="n">
        <f aca="false">AP52+MIN(AF52-AP52,MAX(0,'Start Here'!$B$10-SUM($AJ52:$AS52)-SUMPRODUCT(($Z$3:$AI$3&lt;AF$3)*($Z52:$AI52-$AJ52:$AS52))))</f>
        <v>0</v>
      </c>
      <c r="M52" s="42" t="n">
        <f aca="false">AQ52+MIN(AG52-AQ52,MAX(0,'Start Here'!$B$10-SUM($AJ52:$AS52)-SUMPRODUCT(($Z$3:$AI$3&lt;AG$3)*($Z52:$AI52-$AJ52:$AS52))))</f>
        <v>0</v>
      </c>
      <c r="N52" s="42" t="n">
        <f aca="false">AR52+MIN(AH52-AR52,MAX(0,'Start Here'!$B$10-SUM($AJ52:$AS52)-SUMPRODUCT(($Z$3:$AI$3&lt;AH$3)*($Z52:$AI52-$AJ52:$AS52))))</f>
        <v>0</v>
      </c>
      <c r="O52" s="42" t="n">
        <f aca="false">AS52+MIN(AI52-AS52,MAX(0,'Start Here'!$B$10-SUM($AJ52:$AS52)-SUMPRODUCT(($Z$3:$AI$3&lt;AI$3)*($Z52:$AI52-$AJ52:$AS52))))</f>
        <v>0</v>
      </c>
      <c r="P52" s="42" t="n">
        <f aca="false">ROUND(Z52-F52,2)</f>
        <v>0</v>
      </c>
      <c r="Q52" s="42" t="n">
        <f aca="false">ROUND(AA52-G52,2)</f>
        <v>0</v>
      </c>
      <c r="R52" s="42" t="n">
        <f aca="false">ROUND(AB52-H52,2)</f>
        <v>0</v>
      </c>
      <c r="S52" s="42" t="n">
        <f aca="false">ROUND(AC52-I52,2)</f>
        <v>0</v>
      </c>
      <c r="T52" s="42" t="n">
        <f aca="false">ROUND(AD52-J52,2)</f>
        <v>0</v>
      </c>
      <c r="U52" s="42" t="n">
        <f aca="false">ROUND(AE52-K52,2)</f>
        <v>0</v>
      </c>
      <c r="V52" s="42" t="n">
        <f aca="false">ROUND(AF52-L52,2)</f>
        <v>0</v>
      </c>
      <c r="W52" s="42" t="n">
        <f aca="false">ROUND(AG52-M52,2)</f>
        <v>0</v>
      </c>
      <c r="X52" s="42" t="n">
        <f aca="false">ROUND(AH52-N52,2)</f>
        <v>0</v>
      </c>
      <c r="Y52" s="42" t="n">
        <f aca="false">ROUND(AI52-O52,2)</f>
        <v>0</v>
      </c>
      <c r="Z52" s="56" t="n">
        <f aca="false">ROUND(P51*(1+N(Debts!$D$5)/12),2)</f>
        <v>0</v>
      </c>
      <c r="AA52" s="56" t="n">
        <f aca="false">ROUND(Q51*(1+N(Debts!$D$6)/12),2)</f>
        <v>0</v>
      </c>
      <c r="AB52" s="56" t="n">
        <f aca="false">ROUND(R51*(1+N(Debts!$D$7)/12),2)</f>
        <v>0</v>
      </c>
      <c r="AC52" s="56" t="n">
        <f aca="false">ROUND(S51*(1+N(Debts!$D$8)/12),2)</f>
        <v>0</v>
      </c>
      <c r="AD52" s="56" t="n">
        <f aca="false">ROUND(T51*(1+N(Debts!$D$9)/12),2)</f>
        <v>0</v>
      </c>
      <c r="AE52" s="56" t="n">
        <f aca="false">ROUND(U51*(1+N(Debts!$D$10)/12),2)</f>
        <v>0</v>
      </c>
      <c r="AF52" s="56" t="n">
        <f aca="false">ROUND(V51*(1+N(Debts!$D$11)/12),2)</f>
        <v>0</v>
      </c>
      <c r="AG52" s="56" t="n">
        <f aca="false">ROUND(W51*(1+N(Debts!$D$12)/12),2)</f>
        <v>0</v>
      </c>
      <c r="AH52" s="56" t="n">
        <f aca="false">ROUND(X51*(1+N(Debts!$D$13)/12),2)</f>
        <v>0</v>
      </c>
      <c r="AI52" s="56" t="n">
        <f aca="false">ROUND(Y51*(1+N(Debts!$D$14)/12),2)</f>
        <v>0</v>
      </c>
      <c r="AJ52" s="56" t="n">
        <f aca="false">MIN(Z52,MAX(0,N(Debts!$E$5)))</f>
        <v>0</v>
      </c>
      <c r="AK52" s="56" t="n">
        <f aca="false">MIN(AA52,MAX(0,N(Debts!$E$6)))</f>
        <v>0</v>
      </c>
      <c r="AL52" s="56" t="n">
        <f aca="false">MIN(AB52,MAX(0,N(Debts!$E$7)))</f>
        <v>0</v>
      </c>
      <c r="AM52" s="56" t="n">
        <f aca="false">MIN(AC52,MAX(0,N(Debts!$E$8)))</f>
        <v>0</v>
      </c>
      <c r="AN52" s="56" t="n">
        <f aca="false">MIN(AD52,MAX(0,N(Debts!$E$9)))</f>
        <v>0</v>
      </c>
      <c r="AO52" s="56" t="n">
        <f aca="false">MIN(AE52,MAX(0,N(Debts!$E$10)))</f>
        <v>0</v>
      </c>
      <c r="AP52" s="56" t="n">
        <f aca="false">MIN(AF52,MAX(0,N(Debts!$E$11)))</f>
        <v>0</v>
      </c>
      <c r="AQ52" s="56" t="n">
        <f aca="false">MIN(AG52,MAX(0,N(Debts!$E$12)))</f>
        <v>0</v>
      </c>
      <c r="AR52" s="56" t="n">
        <f aca="false">MIN(AH52,MAX(0,N(Debts!$E$13)))</f>
        <v>0</v>
      </c>
      <c r="AS52" s="56" t="n">
        <f aca="false">MIN(AI52,MAX(0,N(Debts!$E$14)))</f>
        <v>0</v>
      </c>
    </row>
    <row r="53" customFormat="false" ht="15" hidden="false" customHeight="false" outlineLevel="0" collapsed="false">
      <c r="A53" s="53" t="n">
        <v>49</v>
      </c>
      <c r="B53" s="54" t="n">
        <f aca="false">EDATE('Start Here'!$B$8,48)</f>
        <v>47788</v>
      </c>
      <c r="C53" s="42" t="n">
        <f aca="false">SUM(F53:O53)</f>
        <v>0</v>
      </c>
      <c r="D53" s="42" t="n">
        <f aca="false">ROUND(SUM($Z53:$AI53)-SUM(P52:Y52),2)</f>
        <v>0</v>
      </c>
      <c r="E53" s="55" t="n">
        <f aca="false">SUM(P53:Y53)</f>
        <v>0</v>
      </c>
      <c r="F53" s="42" t="n">
        <f aca="false">AJ53+MIN(Z53-AJ53,MAX(0,'Start Here'!$B$10-SUM($AJ53:$AS53)-SUMPRODUCT(($Z$3:$AI$3&lt;Z$3)*($Z53:$AI53-$AJ53:$AS53))))</f>
        <v>0</v>
      </c>
      <c r="G53" s="42" t="n">
        <f aca="false">AK53+MIN(AA53-AK53,MAX(0,'Start Here'!$B$10-SUM($AJ53:$AS53)-SUMPRODUCT(($Z$3:$AI$3&lt;AA$3)*($Z53:$AI53-$AJ53:$AS53))))</f>
        <v>0</v>
      </c>
      <c r="H53" s="42" t="n">
        <f aca="false">AL53+MIN(AB53-AL53,MAX(0,'Start Here'!$B$10-SUM($AJ53:$AS53)-SUMPRODUCT(($Z$3:$AI$3&lt;AB$3)*($Z53:$AI53-$AJ53:$AS53))))</f>
        <v>0</v>
      </c>
      <c r="I53" s="42" t="n">
        <f aca="false">AM53+MIN(AC53-AM53,MAX(0,'Start Here'!$B$10-SUM($AJ53:$AS53)-SUMPRODUCT(($Z$3:$AI$3&lt;AC$3)*($Z53:$AI53-$AJ53:$AS53))))</f>
        <v>0</v>
      </c>
      <c r="J53" s="42" t="n">
        <f aca="false">AN53+MIN(AD53-AN53,MAX(0,'Start Here'!$B$10-SUM($AJ53:$AS53)-SUMPRODUCT(($Z$3:$AI$3&lt;AD$3)*($Z53:$AI53-$AJ53:$AS53))))</f>
        <v>0</v>
      </c>
      <c r="K53" s="42" t="n">
        <f aca="false">AO53+MIN(AE53-AO53,MAX(0,'Start Here'!$B$10-SUM($AJ53:$AS53)-SUMPRODUCT(($Z$3:$AI$3&lt;AE$3)*($Z53:$AI53-$AJ53:$AS53))))</f>
        <v>0</v>
      </c>
      <c r="L53" s="42" t="n">
        <f aca="false">AP53+MIN(AF53-AP53,MAX(0,'Start Here'!$B$10-SUM($AJ53:$AS53)-SUMPRODUCT(($Z$3:$AI$3&lt;AF$3)*($Z53:$AI53-$AJ53:$AS53))))</f>
        <v>0</v>
      </c>
      <c r="M53" s="42" t="n">
        <f aca="false">AQ53+MIN(AG53-AQ53,MAX(0,'Start Here'!$B$10-SUM($AJ53:$AS53)-SUMPRODUCT(($Z$3:$AI$3&lt;AG$3)*($Z53:$AI53-$AJ53:$AS53))))</f>
        <v>0</v>
      </c>
      <c r="N53" s="42" t="n">
        <f aca="false">AR53+MIN(AH53-AR53,MAX(0,'Start Here'!$B$10-SUM($AJ53:$AS53)-SUMPRODUCT(($Z$3:$AI$3&lt;AH$3)*($Z53:$AI53-$AJ53:$AS53))))</f>
        <v>0</v>
      </c>
      <c r="O53" s="42" t="n">
        <f aca="false">AS53+MIN(AI53-AS53,MAX(0,'Start Here'!$B$10-SUM($AJ53:$AS53)-SUMPRODUCT(($Z$3:$AI$3&lt;AI$3)*($Z53:$AI53-$AJ53:$AS53))))</f>
        <v>0</v>
      </c>
      <c r="P53" s="42" t="n">
        <f aca="false">ROUND(Z53-F53,2)</f>
        <v>0</v>
      </c>
      <c r="Q53" s="42" t="n">
        <f aca="false">ROUND(AA53-G53,2)</f>
        <v>0</v>
      </c>
      <c r="R53" s="42" t="n">
        <f aca="false">ROUND(AB53-H53,2)</f>
        <v>0</v>
      </c>
      <c r="S53" s="42" t="n">
        <f aca="false">ROUND(AC53-I53,2)</f>
        <v>0</v>
      </c>
      <c r="T53" s="42" t="n">
        <f aca="false">ROUND(AD53-J53,2)</f>
        <v>0</v>
      </c>
      <c r="U53" s="42" t="n">
        <f aca="false">ROUND(AE53-K53,2)</f>
        <v>0</v>
      </c>
      <c r="V53" s="42" t="n">
        <f aca="false">ROUND(AF53-L53,2)</f>
        <v>0</v>
      </c>
      <c r="W53" s="42" t="n">
        <f aca="false">ROUND(AG53-M53,2)</f>
        <v>0</v>
      </c>
      <c r="X53" s="42" t="n">
        <f aca="false">ROUND(AH53-N53,2)</f>
        <v>0</v>
      </c>
      <c r="Y53" s="42" t="n">
        <f aca="false">ROUND(AI53-O53,2)</f>
        <v>0</v>
      </c>
      <c r="Z53" s="56" t="n">
        <f aca="false">ROUND(P52*(1+N(Debts!$D$5)/12),2)</f>
        <v>0</v>
      </c>
      <c r="AA53" s="56" t="n">
        <f aca="false">ROUND(Q52*(1+N(Debts!$D$6)/12),2)</f>
        <v>0</v>
      </c>
      <c r="AB53" s="56" t="n">
        <f aca="false">ROUND(R52*(1+N(Debts!$D$7)/12),2)</f>
        <v>0</v>
      </c>
      <c r="AC53" s="56" t="n">
        <f aca="false">ROUND(S52*(1+N(Debts!$D$8)/12),2)</f>
        <v>0</v>
      </c>
      <c r="AD53" s="56" t="n">
        <f aca="false">ROUND(T52*(1+N(Debts!$D$9)/12),2)</f>
        <v>0</v>
      </c>
      <c r="AE53" s="56" t="n">
        <f aca="false">ROUND(U52*(1+N(Debts!$D$10)/12),2)</f>
        <v>0</v>
      </c>
      <c r="AF53" s="56" t="n">
        <f aca="false">ROUND(V52*(1+N(Debts!$D$11)/12),2)</f>
        <v>0</v>
      </c>
      <c r="AG53" s="56" t="n">
        <f aca="false">ROUND(W52*(1+N(Debts!$D$12)/12),2)</f>
        <v>0</v>
      </c>
      <c r="AH53" s="56" t="n">
        <f aca="false">ROUND(X52*(1+N(Debts!$D$13)/12),2)</f>
        <v>0</v>
      </c>
      <c r="AI53" s="56" t="n">
        <f aca="false">ROUND(Y52*(1+N(Debts!$D$14)/12),2)</f>
        <v>0</v>
      </c>
      <c r="AJ53" s="56" t="n">
        <f aca="false">MIN(Z53,MAX(0,N(Debts!$E$5)))</f>
        <v>0</v>
      </c>
      <c r="AK53" s="56" t="n">
        <f aca="false">MIN(AA53,MAX(0,N(Debts!$E$6)))</f>
        <v>0</v>
      </c>
      <c r="AL53" s="56" t="n">
        <f aca="false">MIN(AB53,MAX(0,N(Debts!$E$7)))</f>
        <v>0</v>
      </c>
      <c r="AM53" s="56" t="n">
        <f aca="false">MIN(AC53,MAX(0,N(Debts!$E$8)))</f>
        <v>0</v>
      </c>
      <c r="AN53" s="56" t="n">
        <f aca="false">MIN(AD53,MAX(0,N(Debts!$E$9)))</f>
        <v>0</v>
      </c>
      <c r="AO53" s="56" t="n">
        <f aca="false">MIN(AE53,MAX(0,N(Debts!$E$10)))</f>
        <v>0</v>
      </c>
      <c r="AP53" s="56" t="n">
        <f aca="false">MIN(AF53,MAX(0,N(Debts!$E$11)))</f>
        <v>0</v>
      </c>
      <c r="AQ53" s="56" t="n">
        <f aca="false">MIN(AG53,MAX(0,N(Debts!$E$12)))</f>
        <v>0</v>
      </c>
      <c r="AR53" s="56" t="n">
        <f aca="false">MIN(AH53,MAX(0,N(Debts!$E$13)))</f>
        <v>0</v>
      </c>
      <c r="AS53" s="56" t="n">
        <f aca="false">MIN(AI53,MAX(0,N(Debts!$E$14)))</f>
        <v>0</v>
      </c>
    </row>
    <row r="54" customFormat="false" ht="15" hidden="false" customHeight="false" outlineLevel="0" collapsed="false">
      <c r="A54" s="53" t="n">
        <v>50</v>
      </c>
      <c r="B54" s="54" t="n">
        <f aca="false">EDATE('Start Here'!$B$8,49)</f>
        <v>47818</v>
      </c>
      <c r="C54" s="42" t="n">
        <f aca="false">SUM(F54:O54)</f>
        <v>0</v>
      </c>
      <c r="D54" s="42" t="n">
        <f aca="false">ROUND(SUM($Z54:$AI54)-SUM(P53:Y53),2)</f>
        <v>0</v>
      </c>
      <c r="E54" s="55" t="n">
        <f aca="false">SUM(P54:Y54)</f>
        <v>0</v>
      </c>
      <c r="F54" s="42" t="n">
        <f aca="false">AJ54+MIN(Z54-AJ54,MAX(0,'Start Here'!$B$10-SUM($AJ54:$AS54)-SUMPRODUCT(($Z$3:$AI$3&lt;Z$3)*($Z54:$AI54-$AJ54:$AS54))))</f>
        <v>0</v>
      </c>
      <c r="G54" s="42" t="n">
        <f aca="false">AK54+MIN(AA54-AK54,MAX(0,'Start Here'!$B$10-SUM($AJ54:$AS54)-SUMPRODUCT(($Z$3:$AI$3&lt;AA$3)*($Z54:$AI54-$AJ54:$AS54))))</f>
        <v>0</v>
      </c>
      <c r="H54" s="42" t="n">
        <f aca="false">AL54+MIN(AB54-AL54,MAX(0,'Start Here'!$B$10-SUM($AJ54:$AS54)-SUMPRODUCT(($Z$3:$AI$3&lt;AB$3)*($Z54:$AI54-$AJ54:$AS54))))</f>
        <v>0</v>
      </c>
      <c r="I54" s="42" t="n">
        <f aca="false">AM54+MIN(AC54-AM54,MAX(0,'Start Here'!$B$10-SUM($AJ54:$AS54)-SUMPRODUCT(($Z$3:$AI$3&lt;AC$3)*($Z54:$AI54-$AJ54:$AS54))))</f>
        <v>0</v>
      </c>
      <c r="J54" s="42" t="n">
        <f aca="false">AN54+MIN(AD54-AN54,MAX(0,'Start Here'!$B$10-SUM($AJ54:$AS54)-SUMPRODUCT(($Z$3:$AI$3&lt;AD$3)*($Z54:$AI54-$AJ54:$AS54))))</f>
        <v>0</v>
      </c>
      <c r="K54" s="42" t="n">
        <f aca="false">AO54+MIN(AE54-AO54,MAX(0,'Start Here'!$B$10-SUM($AJ54:$AS54)-SUMPRODUCT(($Z$3:$AI$3&lt;AE$3)*($Z54:$AI54-$AJ54:$AS54))))</f>
        <v>0</v>
      </c>
      <c r="L54" s="42" t="n">
        <f aca="false">AP54+MIN(AF54-AP54,MAX(0,'Start Here'!$B$10-SUM($AJ54:$AS54)-SUMPRODUCT(($Z$3:$AI$3&lt;AF$3)*($Z54:$AI54-$AJ54:$AS54))))</f>
        <v>0</v>
      </c>
      <c r="M54" s="42" t="n">
        <f aca="false">AQ54+MIN(AG54-AQ54,MAX(0,'Start Here'!$B$10-SUM($AJ54:$AS54)-SUMPRODUCT(($Z$3:$AI$3&lt;AG$3)*($Z54:$AI54-$AJ54:$AS54))))</f>
        <v>0</v>
      </c>
      <c r="N54" s="42" t="n">
        <f aca="false">AR54+MIN(AH54-AR54,MAX(0,'Start Here'!$B$10-SUM($AJ54:$AS54)-SUMPRODUCT(($Z$3:$AI$3&lt;AH$3)*($Z54:$AI54-$AJ54:$AS54))))</f>
        <v>0</v>
      </c>
      <c r="O54" s="42" t="n">
        <f aca="false">AS54+MIN(AI54-AS54,MAX(0,'Start Here'!$B$10-SUM($AJ54:$AS54)-SUMPRODUCT(($Z$3:$AI$3&lt;AI$3)*($Z54:$AI54-$AJ54:$AS54))))</f>
        <v>0</v>
      </c>
      <c r="P54" s="42" t="n">
        <f aca="false">ROUND(Z54-F54,2)</f>
        <v>0</v>
      </c>
      <c r="Q54" s="42" t="n">
        <f aca="false">ROUND(AA54-G54,2)</f>
        <v>0</v>
      </c>
      <c r="R54" s="42" t="n">
        <f aca="false">ROUND(AB54-H54,2)</f>
        <v>0</v>
      </c>
      <c r="S54" s="42" t="n">
        <f aca="false">ROUND(AC54-I54,2)</f>
        <v>0</v>
      </c>
      <c r="T54" s="42" t="n">
        <f aca="false">ROUND(AD54-J54,2)</f>
        <v>0</v>
      </c>
      <c r="U54" s="42" t="n">
        <f aca="false">ROUND(AE54-K54,2)</f>
        <v>0</v>
      </c>
      <c r="V54" s="42" t="n">
        <f aca="false">ROUND(AF54-L54,2)</f>
        <v>0</v>
      </c>
      <c r="W54" s="42" t="n">
        <f aca="false">ROUND(AG54-M54,2)</f>
        <v>0</v>
      </c>
      <c r="X54" s="42" t="n">
        <f aca="false">ROUND(AH54-N54,2)</f>
        <v>0</v>
      </c>
      <c r="Y54" s="42" t="n">
        <f aca="false">ROUND(AI54-O54,2)</f>
        <v>0</v>
      </c>
      <c r="Z54" s="56" t="n">
        <f aca="false">ROUND(P53*(1+N(Debts!$D$5)/12),2)</f>
        <v>0</v>
      </c>
      <c r="AA54" s="56" t="n">
        <f aca="false">ROUND(Q53*(1+N(Debts!$D$6)/12),2)</f>
        <v>0</v>
      </c>
      <c r="AB54" s="56" t="n">
        <f aca="false">ROUND(R53*(1+N(Debts!$D$7)/12),2)</f>
        <v>0</v>
      </c>
      <c r="AC54" s="56" t="n">
        <f aca="false">ROUND(S53*(1+N(Debts!$D$8)/12),2)</f>
        <v>0</v>
      </c>
      <c r="AD54" s="56" t="n">
        <f aca="false">ROUND(T53*(1+N(Debts!$D$9)/12),2)</f>
        <v>0</v>
      </c>
      <c r="AE54" s="56" t="n">
        <f aca="false">ROUND(U53*(1+N(Debts!$D$10)/12),2)</f>
        <v>0</v>
      </c>
      <c r="AF54" s="56" t="n">
        <f aca="false">ROUND(V53*(1+N(Debts!$D$11)/12),2)</f>
        <v>0</v>
      </c>
      <c r="AG54" s="56" t="n">
        <f aca="false">ROUND(W53*(1+N(Debts!$D$12)/12),2)</f>
        <v>0</v>
      </c>
      <c r="AH54" s="56" t="n">
        <f aca="false">ROUND(X53*(1+N(Debts!$D$13)/12),2)</f>
        <v>0</v>
      </c>
      <c r="AI54" s="56" t="n">
        <f aca="false">ROUND(Y53*(1+N(Debts!$D$14)/12),2)</f>
        <v>0</v>
      </c>
      <c r="AJ54" s="56" t="n">
        <f aca="false">MIN(Z54,MAX(0,N(Debts!$E$5)))</f>
        <v>0</v>
      </c>
      <c r="AK54" s="56" t="n">
        <f aca="false">MIN(AA54,MAX(0,N(Debts!$E$6)))</f>
        <v>0</v>
      </c>
      <c r="AL54" s="56" t="n">
        <f aca="false">MIN(AB54,MAX(0,N(Debts!$E$7)))</f>
        <v>0</v>
      </c>
      <c r="AM54" s="56" t="n">
        <f aca="false">MIN(AC54,MAX(0,N(Debts!$E$8)))</f>
        <v>0</v>
      </c>
      <c r="AN54" s="56" t="n">
        <f aca="false">MIN(AD54,MAX(0,N(Debts!$E$9)))</f>
        <v>0</v>
      </c>
      <c r="AO54" s="56" t="n">
        <f aca="false">MIN(AE54,MAX(0,N(Debts!$E$10)))</f>
        <v>0</v>
      </c>
      <c r="AP54" s="56" t="n">
        <f aca="false">MIN(AF54,MAX(0,N(Debts!$E$11)))</f>
        <v>0</v>
      </c>
      <c r="AQ54" s="56" t="n">
        <f aca="false">MIN(AG54,MAX(0,N(Debts!$E$12)))</f>
        <v>0</v>
      </c>
      <c r="AR54" s="56" t="n">
        <f aca="false">MIN(AH54,MAX(0,N(Debts!$E$13)))</f>
        <v>0</v>
      </c>
      <c r="AS54" s="56" t="n">
        <f aca="false">MIN(AI54,MAX(0,N(Debts!$E$14)))</f>
        <v>0</v>
      </c>
    </row>
    <row r="55" customFormat="false" ht="15" hidden="false" customHeight="false" outlineLevel="0" collapsed="false">
      <c r="A55" s="53" t="n">
        <v>51</v>
      </c>
      <c r="B55" s="54" t="n">
        <f aca="false">EDATE('Start Here'!$B$8,50)</f>
        <v>47849</v>
      </c>
      <c r="C55" s="42" t="n">
        <f aca="false">SUM(F55:O55)</f>
        <v>0</v>
      </c>
      <c r="D55" s="42" t="n">
        <f aca="false">ROUND(SUM($Z55:$AI55)-SUM(P54:Y54),2)</f>
        <v>0</v>
      </c>
      <c r="E55" s="55" t="n">
        <f aca="false">SUM(P55:Y55)</f>
        <v>0</v>
      </c>
      <c r="F55" s="42" t="n">
        <f aca="false">AJ55+MIN(Z55-AJ55,MAX(0,'Start Here'!$B$10-SUM($AJ55:$AS55)-SUMPRODUCT(($Z$3:$AI$3&lt;Z$3)*($Z55:$AI55-$AJ55:$AS55))))</f>
        <v>0</v>
      </c>
      <c r="G55" s="42" t="n">
        <f aca="false">AK55+MIN(AA55-AK55,MAX(0,'Start Here'!$B$10-SUM($AJ55:$AS55)-SUMPRODUCT(($Z$3:$AI$3&lt;AA$3)*($Z55:$AI55-$AJ55:$AS55))))</f>
        <v>0</v>
      </c>
      <c r="H55" s="42" t="n">
        <f aca="false">AL55+MIN(AB55-AL55,MAX(0,'Start Here'!$B$10-SUM($AJ55:$AS55)-SUMPRODUCT(($Z$3:$AI$3&lt;AB$3)*($Z55:$AI55-$AJ55:$AS55))))</f>
        <v>0</v>
      </c>
      <c r="I55" s="42" t="n">
        <f aca="false">AM55+MIN(AC55-AM55,MAX(0,'Start Here'!$B$10-SUM($AJ55:$AS55)-SUMPRODUCT(($Z$3:$AI$3&lt;AC$3)*($Z55:$AI55-$AJ55:$AS55))))</f>
        <v>0</v>
      </c>
      <c r="J55" s="42" t="n">
        <f aca="false">AN55+MIN(AD55-AN55,MAX(0,'Start Here'!$B$10-SUM($AJ55:$AS55)-SUMPRODUCT(($Z$3:$AI$3&lt;AD$3)*($Z55:$AI55-$AJ55:$AS55))))</f>
        <v>0</v>
      </c>
      <c r="K55" s="42" t="n">
        <f aca="false">AO55+MIN(AE55-AO55,MAX(0,'Start Here'!$B$10-SUM($AJ55:$AS55)-SUMPRODUCT(($Z$3:$AI$3&lt;AE$3)*($Z55:$AI55-$AJ55:$AS55))))</f>
        <v>0</v>
      </c>
      <c r="L55" s="42" t="n">
        <f aca="false">AP55+MIN(AF55-AP55,MAX(0,'Start Here'!$B$10-SUM($AJ55:$AS55)-SUMPRODUCT(($Z$3:$AI$3&lt;AF$3)*($Z55:$AI55-$AJ55:$AS55))))</f>
        <v>0</v>
      </c>
      <c r="M55" s="42" t="n">
        <f aca="false">AQ55+MIN(AG55-AQ55,MAX(0,'Start Here'!$B$10-SUM($AJ55:$AS55)-SUMPRODUCT(($Z$3:$AI$3&lt;AG$3)*($Z55:$AI55-$AJ55:$AS55))))</f>
        <v>0</v>
      </c>
      <c r="N55" s="42" t="n">
        <f aca="false">AR55+MIN(AH55-AR55,MAX(0,'Start Here'!$B$10-SUM($AJ55:$AS55)-SUMPRODUCT(($Z$3:$AI$3&lt;AH$3)*($Z55:$AI55-$AJ55:$AS55))))</f>
        <v>0</v>
      </c>
      <c r="O55" s="42" t="n">
        <f aca="false">AS55+MIN(AI55-AS55,MAX(0,'Start Here'!$B$10-SUM($AJ55:$AS55)-SUMPRODUCT(($Z$3:$AI$3&lt;AI$3)*($Z55:$AI55-$AJ55:$AS55))))</f>
        <v>0</v>
      </c>
      <c r="P55" s="42" t="n">
        <f aca="false">ROUND(Z55-F55,2)</f>
        <v>0</v>
      </c>
      <c r="Q55" s="42" t="n">
        <f aca="false">ROUND(AA55-G55,2)</f>
        <v>0</v>
      </c>
      <c r="R55" s="42" t="n">
        <f aca="false">ROUND(AB55-H55,2)</f>
        <v>0</v>
      </c>
      <c r="S55" s="42" t="n">
        <f aca="false">ROUND(AC55-I55,2)</f>
        <v>0</v>
      </c>
      <c r="T55" s="42" t="n">
        <f aca="false">ROUND(AD55-J55,2)</f>
        <v>0</v>
      </c>
      <c r="U55" s="42" t="n">
        <f aca="false">ROUND(AE55-K55,2)</f>
        <v>0</v>
      </c>
      <c r="V55" s="42" t="n">
        <f aca="false">ROUND(AF55-L55,2)</f>
        <v>0</v>
      </c>
      <c r="W55" s="42" t="n">
        <f aca="false">ROUND(AG55-M55,2)</f>
        <v>0</v>
      </c>
      <c r="X55" s="42" t="n">
        <f aca="false">ROUND(AH55-N55,2)</f>
        <v>0</v>
      </c>
      <c r="Y55" s="42" t="n">
        <f aca="false">ROUND(AI55-O55,2)</f>
        <v>0</v>
      </c>
      <c r="Z55" s="56" t="n">
        <f aca="false">ROUND(P54*(1+N(Debts!$D$5)/12),2)</f>
        <v>0</v>
      </c>
      <c r="AA55" s="56" t="n">
        <f aca="false">ROUND(Q54*(1+N(Debts!$D$6)/12),2)</f>
        <v>0</v>
      </c>
      <c r="AB55" s="56" t="n">
        <f aca="false">ROUND(R54*(1+N(Debts!$D$7)/12),2)</f>
        <v>0</v>
      </c>
      <c r="AC55" s="56" t="n">
        <f aca="false">ROUND(S54*(1+N(Debts!$D$8)/12),2)</f>
        <v>0</v>
      </c>
      <c r="AD55" s="56" t="n">
        <f aca="false">ROUND(T54*(1+N(Debts!$D$9)/12),2)</f>
        <v>0</v>
      </c>
      <c r="AE55" s="56" t="n">
        <f aca="false">ROUND(U54*(1+N(Debts!$D$10)/12),2)</f>
        <v>0</v>
      </c>
      <c r="AF55" s="56" t="n">
        <f aca="false">ROUND(V54*(1+N(Debts!$D$11)/12),2)</f>
        <v>0</v>
      </c>
      <c r="AG55" s="56" t="n">
        <f aca="false">ROUND(W54*(1+N(Debts!$D$12)/12),2)</f>
        <v>0</v>
      </c>
      <c r="AH55" s="56" t="n">
        <f aca="false">ROUND(X54*(1+N(Debts!$D$13)/12),2)</f>
        <v>0</v>
      </c>
      <c r="AI55" s="56" t="n">
        <f aca="false">ROUND(Y54*(1+N(Debts!$D$14)/12),2)</f>
        <v>0</v>
      </c>
      <c r="AJ55" s="56" t="n">
        <f aca="false">MIN(Z55,MAX(0,N(Debts!$E$5)))</f>
        <v>0</v>
      </c>
      <c r="AK55" s="56" t="n">
        <f aca="false">MIN(AA55,MAX(0,N(Debts!$E$6)))</f>
        <v>0</v>
      </c>
      <c r="AL55" s="56" t="n">
        <f aca="false">MIN(AB55,MAX(0,N(Debts!$E$7)))</f>
        <v>0</v>
      </c>
      <c r="AM55" s="56" t="n">
        <f aca="false">MIN(AC55,MAX(0,N(Debts!$E$8)))</f>
        <v>0</v>
      </c>
      <c r="AN55" s="56" t="n">
        <f aca="false">MIN(AD55,MAX(0,N(Debts!$E$9)))</f>
        <v>0</v>
      </c>
      <c r="AO55" s="56" t="n">
        <f aca="false">MIN(AE55,MAX(0,N(Debts!$E$10)))</f>
        <v>0</v>
      </c>
      <c r="AP55" s="56" t="n">
        <f aca="false">MIN(AF55,MAX(0,N(Debts!$E$11)))</f>
        <v>0</v>
      </c>
      <c r="AQ55" s="56" t="n">
        <f aca="false">MIN(AG55,MAX(0,N(Debts!$E$12)))</f>
        <v>0</v>
      </c>
      <c r="AR55" s="56" t="n">
        <f aca="false">MIN(AH55,MAX(0,N(Debts!$E$13)))</f>
        <v>0</v>
      </c>
      <c r="AS55" s="56" t="n">
        <f aca="false">MIN(AI55,MAX(0,N(Debts!$E$14)))</f>
        <v>0</v>
      </c>
    </row>
    <row r="56" customFormat="false" ht="15" hidden="false" customHeight="false" outlineLevel="0" collapsed="false">
      <c r="A56" s="53" t="n">
        <v>52</v>
      </c>
      <c r="B56" s="54" t="n">
        <f aca="false">EDATE('Start Here'!$B$8,51)</f>
        <v>47880</v>
      </c>
      <c r="C56" s="42" t="n">
        <f aca="false">SUM(F56:O56)</f>
        <v>0</v>
      </c>
      <c r="D56" s="42" t="n">
        <f aca="false">ROUND(SUM($Z56:$AI56)-SUM(P55:Y55),2)</f>
        <v>0</v>
      </c>
      <c r="E56" s="55" t="n">
        <f aca="false">SUM(P56:Y56)</f>
        <v>0</v>
      </c>
      <c r="F56" s="42" t="n">
        <f aca="false">AJ56+MIN(Z56-AJ56,MAX(0,'Start Here'!$B$10-SUM($AJ56:$AS56)-SUMPRODUCT(($Z$3:$AI$3&lt;Z$3)*($Z56:$AI56-$AJ56:$AS56))))</f>
        <v>0</v>
      </c>
      <c r="G56" s="42" t="n">
        <f aca="false">AK56+MIN(AA56-AK56,MAX(0,'Start Here'!$B$10-SUM($AJ56:$AS56)-SUMPRODUCT(($Z$3:$AI$3&lt;AA$3)*($Z56:$AI56-$AJ56:$AS56))))</f>
        <v>0</v>
      </c>
      <c r="H56" s="42" t="n">
        <f aca="false">AL56+MIN(AB56-AL56,MAX(0,'Start Here'!$B$10-SUM($AJ56:$AS56)-SUMPRODUCT(($Z$3:$AI$3&lt;AB$3)*($Z56:$AI56-$AJ56:$AS56))))</f>
        <v>0</v>
      </c>
      <c r="I56" s="42" t="n">
        <f aca="false">AM56+MIN(AC56-AM56,MAX(0,'Start Here'!$B$10-SUM($AJ56:$AS56)-SUMPRODUCT(($Z$3:$AI$3&lt;AC$3)*($Z56:$AI56-$AJ56:$AS56))))</f>
        <v>0</v>
      </c>
      <c r="J56" s="42" t="n">
        <f aca="false">AN56+MIN(AD56-AN56,MAX(0,'Start Here'!$B$10-SUM($AJ56:$AS56)-SUMPRODUCT(($Z$3:$AI$3&lt;AD$3)*($Z56:$AI56-$AJ56:$AS56))))</f>
        <v>0</v>
      </c>
      <c r="K56" s="42" t="n">
        <f aca="false">AO56+MIN(AE56-AO56,MAX(0,'Start Here'!$B$10-SUM($AJ56:$AS56)-SUMPRODUCT(($Z$3:$AI$3&lt;AE$3)*($Z56:$AI56-$AJ56:$AS56))))</f>
        <v>0</v>
      </c>
      <c r="L56" s="42" t="n">
        <f aca="false">AP56+MIN(AF56-AP56,MAX(0,'Start Here'!$B$10-SUM($AJ56:$AS56)-SUMPRODUCT(($Z$3:$AI$3&lt;AF$3)*($Z56:$AI56-$AJ56:$AS56))))</f>
        <v>0</v>
      </c>
      <c r="M56" s="42" t="n">
        <f aca="false">AQ56+MIN(AG56-AQ56,MAX(0,'Start Here'!$B$10-SUM($AJ56:$AS56)-SUMPRODUCT(($Z$3:$AI$3&lt;AG$3)*($Z56:$AI56-$AJ56:$AS56))))</f>
        <v>0</v>
      </c>
      <c r="N56" s="42" t="n">
        <f aca="false">AR56+MIN(AH56-AR56,MAX(0,'Start Here'!$B$10-SUM($AJ56:$AS56)-SUMPRODUCT(($Z$3:$AI$3&lt;AH$3)*($Z56:$AI56-$AJ56:$AS56))))</f>
        <v>0</v>
      </c>
      <c r="O56" s="42" t="n">
        <f aca="false">AS56+MIN(AI56-AS56,MAX(0,'Start Here'!$B$10-SUM($AJ56:$AS56)-SUMPRODUCT(($Z$3:$AI$3&lt;AI$3)*($Z56:$AI56-$AJ56:$AS56))))</f>
        <v>0</v>
      </c>
      <c r="P56" s="42" t="n">
        <f aca="false">ROUND(Z56-F56,2)</f>
        <v>0</v>
      </c>
      <c r="Q56" s="42" t="n">
        <f aca="false">ROUND(AA56-G56,2)</f>
        <v>0</v>
      </c>
      <c r="R56" s="42" t="n">
        <f aca="false">ROUND(AB56-H56,2)</f>
        <v>0</v>
      </c>
      <c r="S56" s="42" t="n">
        <f aca="false">ROUND(AC56-I56,2)</f>
        <v>0</v>
      </c>
      <c r="T56" s="42" t="n">
        <f aca="false">ROUND(AD56-J56,2)</f>
        <v>0</v>
      </c>
      <c r="U56" s="42" t="n">
        <f aca="false">ROUND(AE56-K56,2)</f>
        <v>0</v>
      </c>
      <c r="V56" s="42" t="n">
        <f aca="false">ROUND(AF56-L56,2)</f>
        <v>0</v>
      </c>
      <c r="W56" s="42" t="n">
        <f aca="false">ROUND(AG56-M56,2)</f>
        <v>0</v>
      </c>
      <c r="X56" s="42" t="n">
        <f aca="false">ROUND(AH56-N56,2)</f>
        <v>0</v>
      </c>
      <c r="Y56" s="42" t="n">
        <f aca="false">ROUND(AI56-O56,2)</f>
        <v>0</v>
      </c>
      <c r="Z56" s="56" t="n">
        <f aca="false">ROUND(P55*(1+N(Debts!$D$5)/12),2)</f>
        <v>0</v>
      </c>
      <c r="AA56" s="56" t="n">
        <f aca="false">ROUND(Q55*(1+N(Debts!$D$6)/12),2)</f>
        <v>0</v>
      </c>
      <c r="AB56" s="56" t="n">
        <f aca="false">ROUND(R55*(1+N(Debts!$D$7)/12),2)</f>
        <v>0</v>
      </c>
      <c r="AC56" s="56" t="n">
        <f aca="false">ROUND(S55*(1+N(Debts!$D$8)/12),2)</f>
        <v>0</v>
      </c>
      <c r="AD56" s="56" t="n">
        <f aca="false">ROUND(T55*(1+N(Debts!$D$9)/12),2)</f>
        <v>0</v>
      </c>
      <c r="AE56" s="56" t="n">
        <f aca="false">ROUND(U55*(1+N(Debts!$D$10)/12),2)</f>
        <v>0</v>
      </c>
      <c r="AF56" s="56" t="n">
        <f aca="false">ROUND(V55*(1+N(Debts!$D$11)/12),2)</f>
        <v>0</v>
      </c>
      <c r="AG56" s="56" t="n">
        <f aca="false">ROUND(W55*(1+N(Debts!$D$12)/12),2)</f>
        <v>0</v>
      </c>
      <c r="AH56" s="56" t="n">
        <f aca="false">ROUND(X55*(1+N(Debts!$D$13)/12),2)</f>
        <v>0</v>
      </c>
      <c r="AI56" s="56" t="n">
        <f aca="false">ROUND(Y55*(1+N(Debts!$D$14)/12),2)</f>
        <v>0</v>
      </c>
      <c r="AJ56" s="56" t="n">
        <f aca="false">MIN(Z56,MAX(0,N(Debts!$E$5)))</f>
        <v>0</v>
      </c>
      <c r="AK56" s="56" t="n">
        <f aca="false">MIN(AA56,MAX(0,N(Debts!$E$6)))</f>
        <v>0</v>
      </c>
      <c r="AL56" s="56" t="n">
        <f aca="false">MIN(AB56,MAX(0,N(Debts!$E$7)))</f>
        <v>0</v>
      </c>
      <c r="AM56" s="56" t="n">
        <f aca="false">MIN(AC56,MAX(0,N(Debts!$E$8)))</f>
        <v>0</v>
      </c>
      <c r="AN56" s="56" t="n">
        <f aca="false">MIN(AD56,MAX(0,N(Debts!$E$9)))</f>
        <v>0</v>
      </c>
      <c r="AO56" s="56" t="n">
        <f aca="false">MIN(AE56,MAX(0,N(Debts!$E$10)))</f>
        <v>0</v>
      </c>
      <c r="AP56" s="56" t="n">
        <f aca="false">MIN(AF56,MAX(0,N(Debts!$E$11)))</f>
        <v>0</v>
      </c>
      <c r="AQ56" s="56" t="n">
        <f aca="false">MIN(AG56,MAX(0,N(Debts!$E$12)))</f>
        <v>0</v>
      </c>
      <c r="AR56" s="56" t="n">
        <f aca="false">MIN(AH56,MAX(0,N(Debts!$E$13)))</f>
        <v>0</v>
      </c>
      <c r="AS56" s="56" t="n">
        <f aca="false">MIN(AI56,MAX(0,N(Debts!$E$14)))</f>
        <v>0</v>
      </c>
    </row>
    <row r="57" customFormat="false" ht="15" hidden="false" customHeight="false" outlineLevel="0" collapsed="false">
      <c r="A57" s="53" t="n">
        <v>53</v>
      </c>
      <c r="B57" s="54" t="n">
        <f aca="false">EDATE('Start Here'!$B$8,52)</f>
        <v>47908</v>
      </c>
      <c r="C57" s="42" t="n">
        <f aca="false">SUM(F57:O57)</f>
        <v>0</v>
      </c>
      <c r="D57" s="42" t="n">
        <f aca="false">ROUND(SUM($Z57:$AI57)-SUM(P56:Y56),2)</f>
        <v>0</v>
      </c>
      <c r="E57" s="55" t="n">
        <f aca="false">SUM(P57:Y57)</f>
        <v>0</v>
      </c>
      <c r="F57" s="42" t="n">
        <f aca="false">AJ57+MIN(Z57-AJ57,MAX(0,'Start Here'!$B$10-SUM($AJ57:$AS57)-SUMPRODUCT(($Z$3:$AI$3&lt;Z$3)*($Z57:$AI57-$AJ57:$AS57))))</f>
        <v>0</v>
      </c>
      <c r="G57" s="42" t="n">
        <f aca="false">AK57+MIN(AA57-AK57,MAX(0,'Start Here'!$B$10-SUM($AJ57:$AS57)-SUMPRODUCT(($Z$3:$AI$3&lt;AA$3)*($Z57:$AI57-$AJ57:$AS57))))</f>
        <v>0</v>
      </c>
      <c r="H57" s="42" t="n">
        <f aca="false">AL57+MIN(AB57-AL57,MAX(0,'Start Here'!$B$10-SUM($AJ57:$AS57)-SUMPRODUCT(($Z$3:$AI$3&lt;AB$3)*($Z57:$AI57-$AJ57:$AS57))))</f>
        <v>0</v>
      </c>
      <c r="I57" s="42" t="n">
        <f aca="false">AM57+MIN(AC57-AM57,MAX(0,'Start Here'!$B$10-SUM($AJ57:$AS57)-SUMPRODUCT(($Z$3:$AI$3&lt;AC$3)*($Z57:$AI57-$AJ57:$AS57))))</f>
        <v>0</v>
      </c>
      <c r="J57" s="42" t="n">
        <f aca="false">AN57+MIN(AD57-AN57,MAX(0,'Start Here'!$B$10-SUM($AJ57:$AS57)-SUMPRODUCT(($Z$3:$AI$3&lt;AD$3)*($Z57:$AI57-$AJ57:$AS57))))</f>
        <v>0</v>
      </c>
      <c r="K57" s="42" t="n">
        <f aca="false">AO57+MIN(AE57-AO57,MAX(0,'Start Here'!$B$10-SUM($AJ57:$AS57)-SUMPRODUCT(($Z$3:$AI$3&lt;AE$3)*($Z57:$AI57-$AJ57:$AS57))))</f>
        <v>0</v>
      </c>
      <c r="L57" s="42" t="n">
        <f aca="false">AP57+MIN(AF57-AP57,MAX(0,'Start Here'!$B$10-SUM($AJ57:$AS57)-SUMPRODUCT(($Z$3:$AI$3&lt;AF$3)*($Z57:$AI57-$AJ57:$AS57))))</f>
        <v>0</v>
      </c>
      <c r="M57" s="42" t="n">
        <f aca="false">AQ57+MIN(AG57-AQ57,MAX(0,'Start Here'!$B$10-SUM($AJ57:$AS57)-SUMPRODUCT(($Z$3:$AI$3&lt;AG$3)*($Z57:$AI57-$AJ57:$AS57))))</f>
        <v>0</v>
      </c>
      <c r="N57" s="42" t="n">
        <f aca="false">AR57+MIN(AH57-AR57,MAX(0,'Start Here'!$B$10-SUM($AJ57:$AS57)-SUMPRODUCT(($Z$3:$AI$3&lt;AH$3)*($Z57:$AI57-$AJ57:$AS57))))</f>
        <v>0</v>
      </c>
      <c r="O57" s="42" t="n">
        <f aca="false">AS57+MIN(AI57-AS57,MAX(0,'Start Here'!$B$10-SUM($AJ57:$AS57)-SUMPRODUCT(($Z$3:$AI$3&lt;AI$3)*($Z57:$AI57-$AJ57:$AS57))))</f>
        <v>0</v>
      </c>
      <c r="P57" s="42" t="n">
        <f aca="false">ROUND(Z57-F57,2)</f>
        <v>0</v>
      </c>
      <c r="Q57" s="42" t="n">
        <f aca="false">ROUND(AA57-G57,2)</f>
        <v>0</v>
      </c>
      <c r="R57" s="42" t="n">
        <f aca="false">ROUND(AB57-H57,2)</f>
        <v>0</v>
      </c>
      <c r="S57" s="42" t="n">
        <f aca="false">ROUND(AC57-I57,2)</f>
        <v>0</v>
      </c>
      <c r="T57" s="42" t="n">
        <f aca="false">ROUND(AD57-J57,2)</f>
        <v>0</v>
      </c>
      <c r="U57" s="42" t="n">
        <f aca="false">ROUND(AE57-K57,2)</f>
        <v>0</v>
      </c>
      <c r="V57" s="42" t="n">
        <f aca="false">ROUND(AF57-L57,2)</f>
        <v>0</v>
      </c>
      <c r="W57" s="42" t="n">
        <f aca="false">ROUND(AG57-M57,2)</f>
        <v>0</v>
      </c>
      <c r="X57" s="42" t="n">
        <f aca="false">ROUND(AH57-N57,2)</f>
        <v>0</v>
      </c>
      <c r="Y57" s="42" t="n">
        <f aca="false">ROUND(AI57-O57,2)</f>
        <v>0</v>
      </c>
      <c r="Z57" s="56" t="n">
        <f aca="false">ROUND(P56*(1+N(Debts!$D$5)/12),2)</f>
        <v>0</v>
      </c>
      <c r="AA57" s="56" t="n">
        <f aca="false">ROUND(Q56*(1+N(Debts!$D$6)/12),2)</f>
        <v>0</v>
      </c>
      <c r="AB57" s="56" t="n">
        <f aca="false">ROUND(R56*(1+N(Debts!$D$7)/12),2)</f>
        <v>0</v>
      </c>
      <c r="AC57" s="56" t="n">
        <f aca="false">ROUND(S56*(1+N(Debts!$D$8)/12),2)</f>
        <v>0</v>
      </c>
      <c r="AD57" s="56" t="n">
        <f aca="false">ROUND(T56*(1+N(Debts!$D$9)/12),2)</f>
        <v>0</v>
      </c>
      <c r="AE57" s="56" t="n">
        <f aca="false">ROUND(U56*(1+N(Debts!$D$10)/12),2)</f>
        <v>0</v>
      </c>
      <c r="AF57" s="56" t="n">
        <f aca="false">ROUND(V56*(1+N(Debts!$D$11)/12),2)</f>
        <v>0</v>
      </c>
      <c r="AG57" s="56" t="n">
        <f aca="false">ROUND(W56*(1+N(Debts!$D$12)/12),2)</f>
        <v>0</v>
      </c>
      <c r="AH57" s="56" t="n">
        <f aca="false">ROUND(X56*(1+N(Debts!$D$13)/12),2)</f>
        <v>0</v>
      </c>
      <c r="AI57" s="56" t="n">
        <f aca="false">ROUND(Y56*(1+N(Debts!$D$14)/12),2)</f>
        <v>0</v>
      </c>
      <c r="AJ57" s="56" t="n">
        <f aca="false">MIN(Z57,MAX(0,N(Debts!$E$5)))</f>
        <v>0</v>
      </c>
      <c r="AK57" s="56" t="n">
        <f aca="false">MIN(AA57,MAX(0,N(Debts!$E$6)))</f>
        <v>0</v>
      </c>
      <c r="AL57" s="56" t="n">
        <f aca="false">MIN(AB57,MAX(0,N(Debts!$E$7)))</f>
        <v>0</v>
      </c>
      <c r="AM57" s="56" t="n">
        <f aca="false">MIN(AC57,MAX(0,N(Debts!$E$8)))</f>
        <v>0</v>
      </c>
      <c r="AN57" s="56" t="n">
        <f aca="false">MIN(AD57,MAX(0,N(Debts!$E$9)))</f>
        <v>0</v>
      </c>
      <c r="AO57" s="56" t="n">
        <f aca="false">MIN(AE57,MAX(0,N(Debts!$E$10)))</f>
        <v>0</v>
      </c>
      <c r="AP57" s="56" t="n">
        <f aca="false">MIN(AF57,MAX(0,N(Debts!$E$11)))</f>
        <v>0</v>
      </c>
      <c r="AQ57" s="56" t="n">
        <f aca="false">MIN(AG57,MAX(0,N(Debts!$E$12)))</f>
        <v>0</v>
      </c>
      <c r="AR57" s="56" t="n">
        <f aca="false">MIN(AH57,MAX(0,N(Debts!$E$13)))</f>
        <v>0</v>
      </c>
      <c r="AS57" s="56" t="n">
        <f aca="false">MIN(AI57,MAX(0,N(Debts!$E$14)))</f>
        <v>0</v>
      </c>
    </row>
    <row r="58" customFormat="false" ht="15" hidden="false" customHeight="false" outlineLevel="0" collapsed="false">
      <c r="A58" s="53" t="n">
        <v>54</v>
      </c>
      <c r="B58" s="54" t="n">
        <f aca="false">EDATE('Start Here'!$B$8,53)</f>
        <v>47939</v>
      </c>
      <c r="C58" s="42" t="n">
        <f aca="false">SUM(F58:O58)</f>
        <v>0</v>
      </c>
      <c r="D58" s="42" t="n">
        <f aca="false">ROUND(SUM($Z58:$AI58)-SUM(P57:Y57),2)</f>
        <v>0</v>
      </c>
      <c r="E58" s="55" t="n">
        <f aca="false">SUM(P58:Y58)</f>
        <v>0</v>
      </c>
      <c r="F58" s="42" t="n">
        <f aca="false">AJ58+MIN(Z58-AJ58,MAX(0,'Start Here'!$B$10-SUM($AJ58:$AS58)-SUMPRODUCT(($Z$3:$AI$3&lt;Z$3)*($Z58:$AI58-$AJ58:$AS58))))</f>
        <v>0</v>
      </c>
      <c r="G58" s="42" t="n">
        <f aca="false">AK58+MIN(AA58-AK58,MAX(0,'Start Here'!$B$10-SUM($AJ58:$AS58)-SUMPRODUCT(($Z$3:$AI$3&lt;AA$3)*($Z58:$AI58-$AJ58:$AS58))))</f>
        <v>0</v>
      </c>
      <c r="H58" s="42" t="n">
        <f aca="false">AL58+MIN(AB58-AL58,MAX(0,'Start Here'!$B$10-SUM($AJ58:$AS58)-SUMPRODUCT(($Z$3:$AI$3&lt;AB$3)*($Z58:$AI58-$AJ58:$AS58))))</f>
        <v>0</v>
      </c>
      <c r="I58" s="42" t="n">
        <f aca="false">AM58+MIN(AC58-AM58,MAX(0,'Start Here'!$B$10-SUM($AJ58:$AS58)-SUMPRODUCT(($Z$3:$AI$3&lt;AC$3)*($Z58:$AI58-$AJ58:$AS58))))</f>
        <v>0</v>
      </c>
      <c r="J58" s="42" t="n">
        <f aca="false">AN58+MIN(AD58-AN58,MAX(0,'Start Here'!$B$10-SUM($AJ58:$AS58)-SUMPRODUCT(($Z$3:$AI$3&lt;AD$3)*($Z58:$AI58-$AJ58:$AS58))))</f>
        <v>0</v>
      </c>
      <c r="K58" s="42" t="n">
        <f aca="false">AO58+MIN(AE58-AO58,MAX(0,'Start Here'!$B$10-SUM($AJ58:$AS58)-SUMPRODUCT(($Z$3:$AI$3&lt;AE$3)*($Z58:$AI58-$AJ58:$AS58))))</f>
        <v>0</v>
      </c>
      <c r="L58" s="42" t="n">
        <f aca="false">AP58+MIN(AF58-AP58,MAX(0,'Start Here'!$B$10-SUM($AJ58:$AS58)-SUMPRODUCT(($Z$3:$AI$3&lt;AF$3)*($Z58:$AI58-$AJ58:$AS58))))</f>
        <v>0</v>
      </c>
      <c r="M58" s="42" t="n">
        <f aca="false">AQ58+MIN(AG58-AQ58,MAX(0,'Start Here'!$B$10-SUM($AJ58:$AS58)-SUMPRODUCT(($Z$3:$AI$3&lt;AG$3)*($Z58:$AI58-$AJ58:$AS58))))</f>
        <v>0</v>
      </c>
      <c r="N58" s="42" t="n">
        <f aca="false">AR58+MIN(AH58-AR58,MAX(0,'Start Here'!$B$10-SUM($AJ58:$AS58)-SUMPRODUCT(($Z$3:$AI$3&lt;AH$3)*($Z58:$AI58-$AJ58:$AS58))))</f>
        <v>0</v>
      </c>
      <c r="O58" s="42" t="n">
        <f aca="false">AS58+MIN(AI58-AS58,MAX(0,'Start Here'!$B$10-SUM($AJ58:$AS58)-SUMPRODUCT(($Z$3:$AI$3&lt;AI$3)*($Z58:$AI58-$AJ58:$AS58))))</f>
        <v>0</v>
      </c>
      <c r="P58" s="42" t="n">
        <f aca="false">ROUND(Z58-F58,2)</f>
        <v>0</v>
      </c>
      <c r="Q58" s="42" t="n">
        <f aca="false">ROUND(AA58-G58,2)</f>
        <v>0</v>
      </c>
      <c r="R58" s="42" t="n">
        <f aca="false">ROUND(AB58-H58,2)</f>
        <v>0</v>
      </c>
      <c r="S58" s="42" t="n">
        <f aca="false">ROUND(AC58-I58,2)</f>
        <v>0</v>
      </c>
      <c r="T58" s="42" t="n">
        <f aca="false">ROUND(AD58-J58,2)</f>
        <v>0</v>
      </c>
      <c r="U58" s="42" t="n">
        <f aca="false">ROUND(AE58-K58,2)</f>
        <v>0</v>
      </c>
      <c r="V58" s="42" t="n">
        <f aca="false">ROUND(AF58-L58,2)</f>
        <v>0</v>
      </c>
      <c r="W58" s="42" t="n">
        <f aca="false">ROUND(AG58-M58,2)</f>
        <v>0</v>
      </c>
      <c r="X58" s="42" t="n">
        <f aca="false">ROUND(AH58-N58,2)</f>
        <v>0</v>
      </c>
      <c r="Y58" s="42" t="n">
        <f aca="false">ROUND(AI58-O58,2)</f>
        <v>0</v>
      </c>
      <c r="Z58" s="56" t="n">
        <f aca="false">ROUND(P57*(1+N(Debts!$D$5)/12),2)</f>
        <v>0</v>
      </c>
      <c r="AA58" s="56" t="n">
        <f aca="false">ROUND(Q57*(1+N(Debts!$D$6)/12),2)</f>
        <v>0</v>
      </c>
      <c r="AB58" s="56" t="n">
        <f aca="false">ROUND(R57*(1+N(Debts!$D$7)/12),2)</f>
        <v>0</v>
      </c>
      <c r="AC58" s="56" t="n">
        <f aca="false">ROUND(S57*(1+N(Debts!$D$8)/12),2)</f>
        <v>0</v>
      </c>
      <c r="AD58" s="56" t="n">
        <f aca="false">ROUND(T57*(1+N(Debts!$D$9)/12),2)</f>
        <v>0</v>
      </c>
      <c r="AE58" s="56" t="n">
        <f aca="false">ROUND(U57*(1+N(Debts!$D$10)/12),2)</f>
        <v>0</v>
      </c>
      <c r="AF58" s="56" t="n">
        <f aca="false">ROUND(V57*(1+N(Debts!$D$11)/12),2)</f>
        <v>0</v>
      </c>
      <c r="AG58" s="56" t="n">
        <f aca="false">ROUND(W57*(1+N(Debts!$D$12)/12),2)</f>
        <v>0</v>
      </c>
      <c r="AH58" s="56" t="n">
        <f aca="false">ROUND(X57*(1+N(Debts!$D$13)/12),2)</f>
        <v>0</v>
      </c>
      <c r="AI58" s="56" t="n">
        <f aca="false">ROUND(Y57*(1+N(Debts!$D$14)/12),2)</f>
        <v>0</v>
      </c>
      <c r="AJ58" s="56" t="n">
        <f aca="false">MIN(Z58,MAX(0,N(Debts!$E$5)))</f>
        <v>0</v>
      </c>
      <c r="AK58" s="56" t="n">
        <f aca="false">MIN(AA58,MAX(0,N(Debts!$E$6)))</f>
        <v>0</v>
      </c>
      <c r="AL58" s="56" t="n">
        <f aca="false">MIN(AB58,MAX(0,N(Debts!$E$7)))</f>
        <v>0</v>
      </c>
      <c r="AM58" s="56" t="n">
        <f aca="false">MIN(AC58,MAX(0,N(Debts!$E$8)))</f>
        <v>0</v>
      </c>
      <c r="AN58" s="56" t="n">
        <f aca="false">MIN(AD58,MAX(0,N(Debts!$E$9)))</f>
        <v>0</v>
      </c>
      <c r="AO58" s="56" t="n">
        <f aca="false">MIN(AE58,MAX(0,N(Debts!$E$10)))</f>
        <v>0</v>
      </c>
      <c r="AP58" s="56" t="n">
        <f aca="false">MIN(AF58,MAX(0,N(Debts!$E$11)))</f>
        <v>0</v>
      </c>
      <c r="AQ58" s="56" t="n">
        <f aca="false">MIN(AG58,MAX(0,N(Debts!$E$12)))</f>
        <v>0</v>
      </c>
      <c r="AR58" s="56" t="n">
        <f aca="false">MIN(AH58,MAX(0,N(Debts!$E$13)))</f>
        <v>0</v>
      </c>
      <c r="AS58" s="56" t="n">
        <f aca="false">MIN(AI58,MAX(0,N(Debts!$E$14)))</f>
        <v>0</v>
      </c>
    </row>
    <row r="59" customFormat="false" ht="15" hidden="false" customHeight="false" outlineLevel="0" collapsed="false">
      <c r="A59" s="53" t="n">
        <v>55</v>
      </c>
      <c r="B59" s="54" t="n">
        <f aca="false">EDATE('Start Here'!$B$8,54)</f>
        <v>47969</v>
      </c>
      <c r="C59" s="42" t="n">
        <f aca="false">SUM(F59:O59)</f>
        <v>0</v>
      </c>
      <c r="D59" s="42" t="n">
        <f aca="false">ROUND(SUM($Z59:$AI59)-SUM(P58:Y58),2)</f>
        <v>0</v>
      </c>
      <c r="E59" s="55" t="n">
        <f aca="false">SUM(P59:Y59)</f>
        <v>0</v>
      </c>
      <c r="F59" s="42" t="n">
        <f aca="false">AJ59+MIN(Z59-AJ59,MAX(0,'Start Here'!$B$10-SUM($AJ59:$AS59)-SUMPRODUCT(($Z$3:$AI$3&lt;Z$3)*($Z59:$AI59-$AJ59:$AS59))))</f>
        <v>0</v>
      </c>
      <c r="G59" s="42" t="n">
        <f aca="false">AK59+MIN(AA59-AK59,MAX(0,'Start Here'!$B$10-SUM($AJ59:$AS59)-SUMPRODUCT(($Z$3:$AI$3&lt;AA$3)*($Z59:$AI59-$AJ59:$AS59))))</f>
        <v>0</v>
      </c>
      <c r="H59" s="42" t="n">
        <f aca="false">AL59+MIN(AB59-AL59,MAX(0,'Start Here'!$B$10-SUM($AJ59:$AS59)-SUMPRODUCT(($Z$3:$AI$3&lt;AB$3)*($Z59:$AI59-$AJ59:$AS59))))</f>
        <v>0</v>
      </c>
      <c r="I59" s="42" t="n">
        <f aca="false">AM59+MIN(AC59-AM59,MAX(0,'Start Here'!$B$10-SUM($AJ59:$AS59)-SUMPRODUCT(($Z$3:$AI$3&lt;AC$3)*($Z59:$AI59-$AJ59:$AS59))))</f>
        <v>0</v>
      </c>
      <c r="J59" s="42" t="n">
        <f aca="false">AN59+MIN(AD59-AN59,MAX(0,'Start Here'!$B$10-SUM($AJ59:$AS59)-SUMPRODUCT(($Z$3:$AI$3&lt;AD$3)*($Z59:$AI59-$AJ59:$AS59))))</f>
        <v>0</v>
      </c>
      <c r="K59" s="42" t="n">
        <f aca="false">AO59+MIN(AE59-AO59,MAX(0,'Start Here'!$B$10-SUM($AJ59:$AS59)-SUMPRODUCT(($Z$3:$AI$3&lt;AE$3)*($Z59:$AI59-$AJ59:$AS59))))</f>
        <v>0</v>
      </c>
      <c r="L59" s="42" t="n">
        <f aca="false">AP59+MIN(AF59-AP59,MAX(0,'Start Here'!$B$10-SUM($AJ59:$AS59)-SUMPRODUCT(($Z$3:$AI$3&lt;AF$3)*($Z59:$AI59-$AJ59:$AS59))))</f>
        <v>0</v>
      </c>
      <c r="M59" s="42" t="n">
        <f aca="false">AQ59+MIN(AG59-AQ59,MAX(0,'Start Here'!$B$10-SUM($AJ59:$AS59)-SUMPRODUCT(($Z$3:$AI$3&lt;AG$3)*($Z59:$AI59-$AJ59:$AS59))))</f>
        <v>0</v>
      </c>
      <c r="N59" s="42" t="n">
        <f aca="false">AR59+MIN(AH59-AR59,MAX(0,'Start Here'!$B$10-SUM($AJ59:$AS59)-SUMPRODUCT(($Z$3:$AI$3&lt;AH$3)*($Z59:$AI59-$AJ59:$AS59))))</f>
        <v>0</v>
      </c>
      <c r="O59" s="42" t="n">
        <f aca="false">AS59+MIN(AI59-AS59,MAX(0,'Start Here'!$B$10-SUM($AJ59:$AS59)-SUMPRODUCT(($Z$3:$AI$3&lt;AI$3)*($Z59:$AI59-$AJ59:$AS59))))</f>
        <v>0</v>
      </c>
      <c r="P59" s="42" t="n">
        <f aca="false">ROUND(Z59-F59,2)</f>
        <v>0</v>
      </c>
      <c r="Q59" s="42" t="n">
        <f aca="false">ROUND(AA59-G59,2)</f>
        <v>0</v>
      </c>
      <c r="R59" s="42" t="n">
        <f aca="false">ROUND(AB59-H59,2)</f>
        <v>0</v>
      </c>
      <c r="S59" s="42" t="n">
        <f aca="false">ROUND(AC59-I59,2)</f>
        <v>0</v>
      </c>
      <c r="T59" s="42" t="n">
        <f aca="false">ROUND(AD59-J59,2)</f>
        <v>0</v>
      </c>
      <c r="U59" s="42" t="n">
        <f aca="false">ROUND(AE59-K59,2)</f>
        <v>0</v>
      </c>
      <c r="V59" s="42" t="n">
        <f aca="false">ROUND(AF59-L59,2)</f>
        <v>0</v>
      </c>
      <c r="W59" s="42" t="n">
        <f aca="false">ROUND(AG59-M59,2)</f>
        <v>0</v>
      </c>
      <c r="X59" s="42" t="n">
        <f aca="false">ROUND(AH59-N59,2)</f>
        <v>0</v>
      </c>
      <c r="Y59" s="42" t="n">
        <f aca="false">ROUND(AI59-O59,2)</f>
        <v>0</v>
      </c>
      <c r="Z59" s="56" t="n">
        <f aca="false">ROUND(P58*(1+N(Debts!$D$5)/12),2)</f>
        <v>0</v>
      </c>
      <c r="AA59" s="56" t="n">
        <f aca="false">ROUND(Q58*(1+N(Debts!$D$6)/12),2)</f>
        <v>0</v>
      </c>
      <c r="AB59" s="56" t="n">
        <f aca="false">ROUND(R58*(1+N(Debts!$D$7)/12),2)</f>
        <v>0</v>
      </c>
      <c r="AC59" s="56" t="n">
        <f aca="false">ROUND(S58*(1+N(Debts!$D$8)/12),2)</f>
        <v>0</v>
      </c>
      <c r="AD59" s="56" t="n">
        <f aca="false">ROUND(T58*(1+N(Debts!$D$9)/12),2)</f>
        <v>0</v>
      </c>
      <c r="AE59" s="56" t="n">
        <f aca="false">ROUND(U58*(1+N(Debts!$D$10)/12),2)</f>
        <v>0</v>
      </c>
      <c r="AF59" s="56" t="n">
        <f aca="false">ROUND(V58*(1+N(Debts!$D$11)/12),2)</f>
        <v>0</v>
      </c>
      <c r="AG59" s="56" t="n">
        <f aca="false">ROUND(W58*(1+N(Debts!$D$12)/12),2)</f>
        <v>0</v>
      </c>
      <c r="AH59" s="56" t="n">
        <f aca="false">ROUND(X58*(1+N(Debts!$D$13)/12),2)</f>
        <v>0</v>
      </c>
      <c r="AI59" s="56" t="n">
        <f aca="false">ROUND(Y58*(1+N(Debts!$D$14)/12),2)</f>
        <v>0</v>
      </c>
      <c r="AJ59" s="56" t="n">
        <f aca="false">MIN(Z59,MAX(0,N(Debts!$E$5)))</f>
        <v>0</v>
      </c>
      <c r="AK59" s="56" t="n">
        <f aca="false">MIN(AA59,MAX(0,N(Debts!$E$6)))</f>
        <v>0</v>
      </c>
      <c r="AL59" s="56" t="n">
        <f aca="false">MIN(AB59,MAX(0,N(Debts!$E$7)))</f>
        <v>0</v>
      </c>
      <c r="AM59" s="56" t="n">
        <f aca="false">MIN(AC59,MAX(0,N(Debts!$E$8)))</f>
        <v>0</v>
      </c>
      <c r="AN59" s="56" t="n">
        <f aca="false">MIN(AD59,MAX(0,N(Debts!$E$9)))</f>
        <v>0</v>
      </c>
      <c r="AO59" s="56" t="n">
        <f aca="false">MIN(AE59,MAX(0,N(Debts!$E$10)))</f>
        <v>0</v>
      </c>
      <c r="AP59" s="56" t="n">
        <f aca="false">MIN(AF59,MAX(0,N(Debts!$E$11)))</f>
        <v>0</v>
      </c>
      <c r="AQ59" s="56" t="n">
        <f aca="false">MIN(AG59,MAX(0,N(Debts!$E$12)))</f>
        <v>0</v>
      </c>
      <c r="AR59" s="56" t="n">
        <f aca="false">MIN(AH59,MAX(0,N(Debts!$E$13)))</f>
        <v>0</v>
      </c>
      <c r="AS59" s="56" t="n">
        <f aca="false">MIN(AI59,MAX(0,N(Debts!$E$14)))</f>
        <v>0</v>
      </c>
    </row>
    <row r="60" customFormat="false" ht="15" hidden="false" customHeight="false" outlineLevel="0" collapsed="false">
      <c r="A60" s="53" t="n">
        <v>56</v>
      </c>
      <c r="B60" s="54" t="n">
        <f aca="false">EDATE('Start Here'!$B$8,55)</f>
        <v>48000</v>
      </c>
      <c r="C60" s="42" t="n">
        <f aca="false">SUM(F60:O60)</f>
        <v>0</v>
      </c>
      <c r="D60" s="42" t="n">
        <f aca="false">ROUND(SUM($Z60:$AI60)-SUM(P59:Y59),2)</f>
        <v>0</v>
      </c>
      <c r="E60" s="55" t="n">
        <f aca="false">SUM(P60:Y60)</f>
        <v>0</v>
      </c>
      <c r="F60" s="42" t="n">
        <f aca="false">AJ60+MIN(Z60-AJ60,MAX(0,'Start Here'!$B$10-SUM($AJ60:$AS60)-SUMPRODUCT(($Z$3:$AI$3&lt;Z$3)*($Z60:$AI60-$AJ60:$AS60))))</f>
        <v>0</v>
      </c>
      <c r="G60" s="42" t="n">
        <f aca="false">AK60+MIN(AA60-AK60,MAX(0,'Start Here'!$B$10-SUM($AJ60:$AS60)-SUMPRODUCT(($Z$3:$AI$3&lt;AA$3)*($Z60:$AI60-$AJ60:$AS60))))</f>
        <v>0</v>
      </c>
      <c r="H60" s="42" t="n">
        <f aca="false">AL60+MIN(AB60-AL60,MAX(0,'Start Here'!$B$10-SUM($AJ60:$AS60)-SUMPRODUCT(($Z$3:$AI$3&lt;AB$3)*($Z60:$AI60-$AJ60:$AS60))))</f>
        <v>0</v>
      </c>
      <c r="I60" s="42" t="n">
        <f aca="false">AM60+MIN(AC60-AM60,MAX(0,'Start Here'!$B$10-SUM($AJ60:$AS60)-SUMPRODUCT(($Z$3:$AI$3&lt;AC$3)*($Z60:$AI60-$AJ60:$AS60))))</f>
        <v>0</v>
      </c>
      <c r="J60" s="42" t="n">
        <f aca="false">AN60+MIN(AD60-AN60,MAX(0,'Start Here'!$B$10-SUM($AJ60:$AS60)-SUMPRODUCT(($Z$3:$AI$3&lt;AD$3)*($Z60:$AI60-$AJ60:$AS60))))</f>
        <v>0</v>
      </c>
      <c r="K60" s="42" t="n">
        <f aca="false">AO60+MIN(AE60-AO60,MAX(0,'Start Here'!$B$10-SUM($AJ60:$AS60)-SUMPRODUCT(($Z$3:$AI$3&lt;AE$3)*($Z60:$AI60-$AJ60:$AS60))))</f>
        <v>0</v>
      </c>
      <c r="L60" s="42" t="n">
        <f aca="false">AP60+MIN(AF60-AP60,MAX(0,'Start Here'!$B$10-SUM($AJ60:$AS60)-SUMPRODUCT(($Z$3:$AI$3&lt;AF$3)*($Z60:$AI60-$AJ60:$AS60))))</f>
        <v>0</v>
      </c>
      <c r="M60" s="42" t="n">
        <f aca="false">AQ60+MIN(AG60-AQ60,MAX(0,'Start Here'!$B$10-SUM($AJ60:$AS60)-SUMPRODUCT(($Z$3:$AI$3&lt;AG$3)*($Z60:$AI60-$AJ60:$AS60))))</f>
        <v>0</v>
      </c>
      <c r="N60" s="42" t="n">
        <f aca="false">AR60+MIN(AH60-AR60,MAX(0,'Start Here'!$B$10-SUM($AJ60:$AS60)-SUMPRODUCT(($Z$3:$AI$3&lt;AH$3)*($Z60:$AI60-$AJ60:$AS60))))</f>
        <v>0</v>
      </c>
      <c r="O60" s="42" t="n">
        <f aca="false">AS60+MIN(AI60-AS60,MAX(0,'Start Here'!$B$10-SUM($AJ60:$AS60)-SUMPRODUCT(($Z$3:$AI$3&lt;AI$3)*($Z60:$AI60-$AJ60:$AS60))))</f>
        <v>0</v>
      </c>
      <c r="P60" s="42" t="n">
        <f aca="false">ROUND(Z60-F60,2)</f>
        <v>0</v>
      </c>
      <c r="Q60" s="42" t="n">
        <f aca="false">ROUND(AA60-G60,2)</f>
        <v>0</v>
      </c>
      <c r="R60" s="42" t="n">
        <f aca="false">ROUND(AB60-H60,2)</f>
        <v>0</v>
      </c>
      <c r="S60" s="42" t="n">
        <f aca="false">ROUND(AC60-I60,2)</f>
        <v>0</v>
      </c>
      <c r="T60" s="42" t="n">
        <f aca="false">ROUND(AD60-J60,2)</f>
        <v>0</v>
      </c>
      <c r="U60" s="42" t="n">
        <f aca="false">ROUND(AE60-K60,2)</f>
        <v>0</v>
      </c>
      <c r="V60" s="42" t="n">
        <f aca="false">ROUND(AF60-L60,2)</f>
        <v>0</v>
      </c>
      <c r="W60" s="42" t="n">
        <f aca="false">ROUND(AG60-M60,2)</f>
        <v>0</v>
      </c>
      <c r="X60" s="42" t="n">
        <f aca="false">ROUND(AH60-N60,2)</f>
        <v>0</v>
      </c>
      <c r="Y60" s="42" t="n">
        <f aca="false">ROUND(AI60-O60,2)</f>
        <v>0</v>
      </c>
      <c r="Z60" s="56" t="n">
        <f aca="false">ROUND(P59*(1+N(Debts!$D$5)/12),2)</f>
        <v>0</v>
      </c>
      <c r="AA60" s="56" t="n">
        <f aca="false">ROUND(Q59*(1+N(Debts!$D$6)/12),2)</f>
        <v>0</v>
      </c>
      <c r="AB60" s="56" t="n">
        <f aca="false">ROUND(R59*(1+N(Debts!$D$7)/12),2)</f>
        <v>0</v>
      </c>
      <c r="AC60" s="56" t="n">
        <f aca="false">ROUND(S59*(1+N(Debts!$D$8)/12),2)</f>
        <v>0</v>
      </c>
      <c r="AD60" s="56" t="n">
        <f aca="false">ROUND(T59*(1+N(Debts!$D$9)/12),2)</f>
        <v>0</v>
      </c>
      <c r="AE60" s="56" t="n">
        <f aca="false">ROUND(U59*(1+N(Debts!$D$10)/12),2)</f>
        <v>0</v>
      </c>
      <c r="AF60" s="56" t="n">
        <f aca="false">ROUND(V59*(1+N(Debts!$D$11)/12),2)</f>
        <v>0</v>
      </c>
      <c r="AG60" s="56" t="n">
        <f aca="false">ROUND(W59*(1+N(Debts!$D$12)/12),2)</f>
        <v>0</v>
      </c>
      <c r="AH60" s="56" t="n">
        <f aca="false">ROUND(X59*(1+N(Debts!$D$13)/12),2)</f>
        <v>0</v>
      </c>
      <c r="AI60" s="56" t="n">
        <f aca="false">ROUND(Y59*(1+N(Debts!$D$14)/12),2)</f>
        <v>0</v>
      </c>
      <c r="AJ60" s="56" t="n">
        <f aca="false">MIN(Z60,MAX(0,N(Debts!$E$5)))</f>
        <v>0</v>
      </c>
      <c r="AK60" s="56" t="n">
        <f aca="false">MIN(AA60,MAX(0,N(Debts!$E$6)))</f>
        <v>0</v>
      </c>
      <c r="AL60" s="56" t="n">
        <f aca="false">MIN(AB60,MAX(0,N(Debts!$E$7)))</f>
        <v>0</v>
      </c>
      <c r="AM60" s="56" t="n">
        <f aca="false">MIN(AC60,MAX(0,N(Debts!$E$8)))</f>
        <v>0</v>
      </c>
      <c r="AN60" s="56" t="n">
        <f aca="false">MIN(AD60,MAX(0,N(Debts!$E$9)))</f>
        <v>0</v>
      </c>
      <c r="AO60" s="56" t="n">
        <f aca="false">MIN(AE60,MAX(0,N(Debts!$E$10)))</f>
        <v>0</v>
      </c>
      <c r="AP60" s="56" t="n">
        <f aca="false">MIN(AF60,MAX(0,N(Debts!$E$11)))</f>
        <v>0</v>
      </c>
      <c r="AQ60" s="56" t="n">
        <f aca="false">MIN(AG60,MAX(0,N(Debts!$E$12)))</f>
        <v>0</v>
      </c>
      <c r="AR60" s="56" t="n">
        <f aca="false">MIN(AH60,MAX(0,N(Debts!$E$13)))</f>
        <v>0</v>
      </c>
      <c r="AS60" s="56" t="n">
        <f aca="false">MIN(AI60,MAX(0,N(Debts!$E$14)))</f>
        <v>0</v>
      </c>
    </row>
    <row r="61" customFormat="false" ht="15" hidden="false" customHeight="false" outlineLevel="0" collapsed="false">
      <c r="A61" s="53" t="n">
        <v>57</v>
      </c>
      <c r="B61" s="54" t="n">
        <f aca="false">EDATE('Start Here'!$B$8,56)</f>
        <v>48030</v>
      </c>
      <c r="C61" s="42" t="n">
        <f aca="false">SUM(F61:O61)</f>
        <v>0</v>
      </c>
      <c r="D61" s="42" t="n">
        <f aca="false">ROUND(SUM($Z61:$AI61)-SUM(P60:Y60),2)</f>
        <v>0</v>
      </c>
      <c r="E61" s="55" t="n">
        <f aca="false">SUM(P61:Y61)</f>
        <v>0</v>
      </c>
      <c r="F61" s="42" t="n">
        <f aca="false">AJ61+MIN(Z61-AJ61,MAX(0,'Start Here'!$B$10-SUM($AJ61:$AS61)-SUMPRODUCT(($Z$3:$AI$3&lt;Z$3)*($Z61:$AI61-$AJ61:$AS61))))</f>
        <v>0</v>
      </c>
      <c r="G61" s="42" t="n">
        <f aca="false">AK61+MIN(AA61-AK61,MAX(0,'Start Here'!$B$10-SUM($AJ61:$AS61)-SUMPRODUCT(($Z$3:$AI$3&lt;AA$3)*($Z61:$AI61-$AJ61:$AS61))))</f>
        <v>0</v>
      </c>
      <c r="H61" s="42" t="n">
        <f aca="false">AL61+MIN(AB61-AL61,MAX(0,'Start Here'!$B$10-SUM($AJ61:$AS61)-SUMPRODUCT(($Z$3:$AI$3&lt;AB$3)*($Z61:$AI61-$AJ61:$AS61))))</f>
        <v>0</v>
      </c>
      <c r="I61" s="42" t="n">
        <f aca="false">AM61+MIN(AC61-AM61,MAX(0,'Start Here'!$B$10-SUM($AJ61:$AS61)-SUMPRODUCT(($Z$3:$AI$3&lt;AC$3)*($Z61:$AI61-$AJ61:$AS61))))</f>
        <v>0</v>
      </c>
      <c r="J61" s="42" t="n">
        <f aca="false">AN61+MIN(AD61-AN61,MAX(0,'Start Here'!$B$10-SUM($AJ61:$AS61)-SUMPRODUCT(($Z$3:$AI$3&lt;AD$3)*($Z61:$AI61-$AJ61:$AS61))))</f>
        <v>0</v>
      </c>
      <c r="K61" s="42" t="n">
        <f aca="false">AO61+MIN(AE61-AO61,MAX(0,'Start Here'!$B$10-SUM($AJ61:$AS61)-SUMPRODUCT(($Z$3:$AI$3&lt;AE$3)*($Z61:$AI61-$AJ61:$AS61))))</f>
        <v>0</v>
      </c>
      <c r="L61" s="42" t="n">
        <f aca="false">AP61+MIN(AF61-AP61,MAX(0,'Start Here'!$B$10-SUM($AJ61:$AS61)-SUMPRODUCT(($Z$3:$AI$3&lt;AF$3)*($Z61:$AI61-$AJ61:$AS61))))</f>
        <v>0</v>
      </c>
      <c r="M61" s="42" t="n">
        <f aca="false">AQ61+MIN(AG61-AQ61,MAX(0,'Start Here'!$B$10-SUM($AJ61:$AS61)-SUMPRODUCT(($Z$3:$AI$3&lt;AG$3)*($Z61:$AI61-$AJ61:$AS61))))</f>
        <v>0</v>
      </c>
      <c r="N61" s="42" t="n">
        <f aca="false">AR61+MIN(AH61-AR61,MAX(0,'Start Here'!$B$10-SUM($AJ61:$AS61)-SUMPRODUCT(($Z$3:$AI$3&lt;AH$3)*($Z61:$AI61-$AJ61:$AS61))))</f>
        <v>0</v>
      </c>
      <c r="O61" s="42" t="n">
        <f aca="false">AS61+MIN(AI61-AS61,MAX(0,'Start Here'!$B$10-SUM($AJ61:$AS61)-SUMPRODUCT(($Z$3:$AI$3&lt;AI$3)*($Z61:$AI61-$AJ61:$AS61))))</f>
        <v>0</v>
      </c>
      <c r="P61" s="42" t="n">
        <f aca="false">ROUND(Z61-F61,2)</f>
        <v>0</v>
      </c>
      <c r="Q61" s="42" t="n">
        <f aca="false">ROUND(AA61-G61,2)</f>
        <v>0</v>
      </c>
      <c r="R61" s="42" t="n">
        <f aca="false">ROUND(AB61-H61,2)</f>
        <v>0</v>
      </c>
      <c r="S61" s="42" t="n">
        <f aca="false">ROUND(AC61-I61,2)</f>
        <v>0</v>
      </c>
      <c r="T61" s="42" t="n">
        <f aca="false">ROUND(AD61-J61,2)</f>
        <v>0</v>
      </c>
      <c r="U61" s="42" t="n">
        <f aca="false">ROUND(AE61-K61,2)</f>
        <v>0</v>
      </c>
      <c r="V61" s="42" t="n">
        <f aca="false">ROUND(AF61-L61,2)</f>
        <v>0</v>
      </c>
      <c r="W61" s="42" t="n">
        <f aca="false">ROUND(AG61-M61,2)</f>
        <v>0</v>
      </c>
      <c r="X61" s="42" t="n">
        <f aca="false">ROUND(AH61-N61,2)</f>
        <v>0</v>
      </c>
      <c r="Y61" s="42" t="n">
        <f aca="false">ROUND(AI61-O61,2)</f>
        <v>0</v>
      </c>
      <c r="Z61" s="56" t="n">
        <f aca="false">ROUND(P60*(1+N(Debts!$D$5)/12),2)</f>
        <v>0</v>
      </c>
      <c r="AA61" s="56" t="n">
        <f aca="false">ROUND(Q60*(1+N(Debts!$D$6)/12),2)</f>
        <v>0</v>
      </c>
      <c r="AB61" s="56" t="n">
        <f aca="false">ROUND(R60*(1+N(Debts!$D$7)/12),2)</f>
        <v>0</v>
      </c>
      <c r="AC61" s="56" t="n">
        <f aca="false">ROUND(S60*(1+N(Debts!$D$8)/12),2)</f>
        <v>0</v>
      </c>
      <c r="AD61" s="56" t="n">
        <f aca="false">ROUND(T60*(1+N(Debts!$D$9)/12),2)</f>
        <v>0</v>
      </c>
      <c r="AE61" s="56" t="n">
        <f aca="false">ROUND(U60*(1+N(Debts!$D$10)/12),2)</f>
        <v>0</v>
      </c>
      <c r="AF61" s="56" t="n">
        <f aca="false">ROUND(V60*(1+N(Debts!$D$11)/12),2)</f>
        <v>0</v>
      </c>
      <c r="AG61" s="56" t="n">
        <f aca="false">ROUND(W60*(1+N(Debts!$D$12)/12),2)</f>
        <v>0</v>
      </c>
      <c r="AH61" s="56" t="n">
        <f aca="false">ROUND(X60*(1+N(Debts!$D$13)/12),2)</f>
        <v>0</v>
      </c>
      <c r="AI61" s="56" t="n">
        <f aca="false">ROUND(Y60*(1+N(Debts!$D$14)/12),2)</f>
        <v>0</v>
      </c>
      <c r="AJ61" s="56" t="n">
        <f aca="false">MIN(Z61,MAX(0,N(Debts!$E$5)))</f>
        <v>0</v>
      </c>
      <c r="AK61" s="56" t="n">
        <f aca="false">MIN(AA61,MAX(0,N(Debts!$E$6)))</f>
        <v>0</v>
      </c>
      <c r="AL61" s="56" t="n">
        <f aca="false">MIN(AB61,MAX(0,N(Debts!$E$7)))</f>
        <v>0</v>
      </c>
      <c r="AM61" s="56" t="n">
        <f aca="false">MIN(AC61,MAX(0,N(Debts!$E$8)))</f>
        <v>0</v>
      </c>
      <c r="AN61" s="56" t="n">
        <f aca="false">MIN(AD61,MAX(0,N(Debts!$E$9)))</f>
        <v>0</v>
      </c>
      <c r="AO61" s="56" t="n">
        <f aca="false">MIN(AE61,MAX(0,N(Debts!$E$10)))</f>
        <v>0</v>
      </c>
      <c r="AP61" s="56" t="n">
        <f aca="false">MIN(AF61,MAX(0,N(Debts!$E$11)))</f>
        <v>0</v>
      </c>
      <c r="AQ61" s="56" t="n">
        <f aca="false">MIN(AG61,MAX(0,N(Debts!$E$12)))</f>
        <v>0</v>
      </c>
      <c r="AR61" s="56" t="n">
        <f aca="false">MIN(AH61,MAX(0,N(Debts!$E$13)))</f>
        <v>0</v>
      </c>
      <c r="AS61" s="56" t="n">
        <f aca="false">MIN(AI61,MAX(0,N(Debts!$E$14)))</f>
        <v>0</v>
      </c>
    </row>
    <row r="62" customFormat="false" ht="15" hidden="false" customHeight="false" outlineLevel="0" collapsed="false">
      <c r="A62" s="53" t="n">
        <v>58</v>
      </c>
      <c r="B62" s="54" t="n">
        <f aca="false">EDATE('Start Here'!$B$8,57)</f>
        <v>48061</v>
      </c>
      <c r="C62" s="42" t="n">
        <f aca="false">SUM(F62:O62)</f>
        <v>0</v>
      </c>
      <c r="D62" s="42" t="n">
        <f aca="false">ROUND(SUM($Z62:$AI62)-SUM(P61:Y61),2)</f>
        <v>0</v>
      </c>
      <c r="E62" s="55" t="n">
        <f aca="false">SUM(P62:Y62)</f>
        <v>0</v>
      </c>
      <c r="F62" s="42" t="n">
        <f aca="false">AJ62+MIN(Z62-AJ62,MAX(0,'Start Here'!$B$10-SUM($AJ62:$AS62)-SUMPRODUCT(($Z$3:$AI$3&lt;Z$3)*($Z62:$AI62-$AJ62:$AS62))))</f>
        <v>0</v>
      </c>
      <c r="G62" s="42" t="n">
        <f aca="false">AK62+MIN(AA62-AK62,MAX(0,'Start Here'!$B$10-SUM($AJ62:$AS62)-SUMPRODUCT(($Z$3:$AI$3&lt;AA$3)*($Z62:$AI62-$AJ62:$AS62))))</f>
        <v>0</v>
      </c>
      <c r="H62" s="42" t="n">
        <f aca="false">AL62+MIN(AB62-AL62,MAX(0,'Start Here'!$B$10-SUM($AJ62:$AS62)-SUMPRODUCT(($Z$3:$AI$3&lt;AB$3)*($Z62:$AI62-$AJ62:$AS62))))</f>
        <v>0</v>
      </c>
      <c r="I62" s="42" t="n">
        <f aca="false">AM62+MIN(AC62-AM62,MAX(0,'Start Here'!$B$10-SUM($AJ62:$AS62)-SUMPRODUCT(($Z$3:$AI$3&lt;AC$3)*($Z62:$AI62-$AJ62:$AS62))))</f>
        <v>0</v>
      </c>
      <c r="J62" s="42" t="n">
        <f aca="false">AN62+MIN(AD62-AN62,MAX(0,'Start Here'!$B$10-SUM($AJ62:$AS62)-SUMPRODUCT(($Z$3:$AI$3&lt;AD$3)*($Z62:$AI62-$AJ62:$AS62))))</f>
        <v>0</v>
      </c>
      <c r="K62" s="42" t="n">
        <f aca="false">AO62+MIN(AE62-AO62,MAX(0,'Start Here'!$B$10-SUM($AJ62:$AS62)-SUMPRODUCT(($Z$3:$AI$3&lt;AE$3)*($Z62:$AI62-$AJ62:$AS62))))</f>
        <v>0</v>
      </c>
      <c r="L62" s="42" t="n">
        <f aca="false">AP62+MIN(AF62-AP62,MAX(0,'Start Here'!$B$10-SUM($AJ62:$AS62)-SUMPRODUCT(($Z$3:$AI$3&lt;AF$3)*($Z62:$AI62-$AJ62:$AS62))))</f>
        <v>0</v>
      </c>
      <c r="M62" s="42" t="n">
        <f aca="false">AQ62+MIN(AG62-AQ62,MAX(0,'Start Here'!$B$10-SUM($AJ62:$AS62)-SUMPRODUCT(($Z$3:$AI$3&lt;AG$3)*($Z62:$AI62-$AJ62:$AS62))))</f>
        <v>0</v>
      </c>
      <c r="N62" s="42" t="n">
        <f aca="false">AR62+MIN(AH62-AR62,MAX(0,'Start Here'!$B$10-SUM($AJ62:$AS62)-SUMPRODUCT(($Z$3:$AI$3&lt;AH$3)*($Z62:$AI62-$AJ62:$AS62))))</f>
        <v>0</v>
      </c>
      <c r="O62" s="42" t="n">
        <f aca="false">AS62+MIN(AI62-AS62,MAX(0,'Start Here'!$B$10-SUM($AJ62:$AS62)-SUMPRODUCT(($Z$3:$AI$3&lt;AI$3)*($Z62:$AI62-$AJ62:$AS62))))</f>
        <v>0</v>
      </c>
      <c r="P62" s="42" t="n">
        <f aca="false">ROUND(Z62-F62,2)</f>
        <v>0</v>
      </c>
      <c r="Q62" s="42" t="n">
        <f aca="false">ROUND(AA62-G62,2)</f>
        <v>0</v>
      </c>
      <c r="R62" s="42" t="n">
        <f aca="false">ROUND(AB62-H62,2)</f>
        <v>0</v>
      </c>
      <c r="S62" s="42" t="n">
        <f aca="false">ROUND(AC62-I62,2)</f>
        <v>0</v>
      </c>
      <c r="T62" s="42" t="n">
        <f aca="false">ROUND(AD62-J62,2)</f>
        <v>0</v>
      </c>
      <c r="U62" s="42" t="n">
        <f aca="false">ROUND(AE62-K62,2)</f>
        <v>0</v>
      </c>
      <c r="V62" s="42" t="n">
        <f aca="false">ROUND(AF62-L62,2)</f>
        <v>0</v>
      </c>
      <c r="W62" s="42" t="n">
        <f aca="false">ROUND(AG62-M62,2)</f>
        <v>0</v>
      </c>
      <c r="X62" s="42" t="n">
        <f aca="false">ROUND(AH62-N62,2)</f>
        <v>0</v>
      </c>
      <c r="Y62" s="42" t="n">
        <f aca="false">ROUND(AI62-O62,2)</f>
        <v>0</v>
      </c>
      <c r="Z62" s="56" t="n">
        <f aca="false">ROUND(P61*(1+N(Debts!$D$5)/12),2)</f>
        <v>0</v>
      </c>
      <c r="AA62" s="56" t="n">
        <f aca="false">ROUND(Q61*(1+N(Debts!$D$6)/12),2)</f>
        <v>0</v>
      </c>
      <c r="AB62" s="56" t="n">
        <f aca="false">ROUND(R61*(1+N(Debts!$D$7)/12),2)</f>
        <v>0</v>
      </c>
      <c r="AC62" s="56" t="n">
        <f aca="false">ROUND(S61*(1+N(Debts!$D$8)/12),2)</f>
        <v>0</v>
      </c>
      <c r="AD62" s="56" t="n">
        <f aca="false">ROUND(T61*(1+N(Debts!$D$9)/12),2)</f>
        <v>0</v>
      </c>
      <c r="AE62" s="56" t="n">
        <f aca="false">ROUND(U61*(1+N(Debts!$D$10)/12),2)</f>
        <v>0</v>
      </c>
      <c r="AF62" s="56" t="n">
        <f aca="false">ROUND(V61*(1+N(Debts!$D$11)/12),2)</f>
        <v>0</v>
      </c>
      <c r="AG62" s="56" t="n">
        <f aca="false">ROUND(W61*(1+N(Debts!$D$12)/12),2)</f>
        <v>0</v>
      </c>
      <c r="AH62" s="56" t="n">
        <f aca="false">ROUND(X61*(1+N(Debts!$D$13)/12),2)</f>
        <v>0</v>
      </c>
      <c r="AI62" s="56" t="n">
        <f aca="false">ROUND(Y61*(1+N(Debts!$D$14)/12),2)</f>
        <v>0</v>
      </c>
      <c r="AJ62" s="56" t="n">
        <f aca="false">MIN(Z62,MAX(0,N(Debts!$E$5)))</f>
        <v>0</v>
      </c>
      <c r="AK62" s="56" t="n">
        <f aca="false">MIN(AA62,MAX(0,N(Debts!$E$6)))</f>
        <v>0</v>
      </c>
      <c r="AL62" s="56" t="n">
        <f aca="false">MIN(AB62,MAX(0,N(Debts!$E$7)))</f>
        <v>0</v>
      </c>
      <c r="AM62" s="56" t="n">
        <f aca="false">MIN(AC62,MAX(0,N(Debts!$E$8)))</f>
        <v>0</v>
      </c>
      <c r="AN62" s="56" t="n">
        <f aca="false">MIN(AD62,MAX(0,N(Debts!$E$9)))</f>
        <v>0</v>
      </c>
      <c r="AO62" s="56" t="n">
        <f aca="false">MIN(AE62,MAX(0,N(Debts!$E$10)))</f>
        <v>0</v>
      </c>
      <c r="AP62" s="56" t="n">
        <f aca="false">MIN(AF62,MAX(0,N(Debts!$E$11)))</f>
        <v>0</v>
      </c>
      <c r="AQ62" s="56" t="n">
        <f aca="false">MIN(AG62,MAX(0,N(Debts!$E$12)))</f>
        <v>0</v>
      </c>
      <c r="AR62" s="56" t="n">
        <f aca="false">MIN(AH62,MAX(0,N(Debts!$E$13)))</f>
        <v>0</v>
      </c>
      <c r="AS62" s="56" t="n">
        <f aca="false">MIN(AI62,MAX(0,N(Debts!$E$14)))</f>
        <v>0</v>
      </c>
    </row>
    <row r="63" customFormat="false" ht="15" hidden="false" customHeight="false" outlineLevel="0" collapsed="false">
      <c r="A63" s="53" t="n">
        <v>59</v>
      </c>
      <c r="B63" s="54" t="n">
        <f aca="false">EDATE('Start Here'!$B$8,58)</f>
        <v>48092</v>
      </c>
      <c r="C63" s="42" t="n">
        <f aca="false">SUM(F63:O63)</f>
        <v>0</v>
      </c>
      <c r="D63" s="42" t="n">
        <f aca="false">ROUND(SUM($Z63:$AI63)-SUM(P62:Y62),2)</f>
        <v>0</v>
      </c>
      <c r="E63" s="55" t="n">
        <f aca="false">SUM(P63:Y63)</f>
        <v>0</v>
      </c>
      <c r="F63" s="42" t="n">
        <f aca="false">AJ63+MIN(Z63-AJ63,MAX(0,'Start Here'!$B$10-SUM($AJ63:$AS63)-SUMPRODUCT(($Z$3:$AI$3&lt;Z$3)*($Z63:$AI63-$AJ63:$AS63))))</f>
        <v>0</v>
      </c>
      <c r="G63" s="42" t="n">
        <f aca="false">AK63+MIN(AA63-AK63,MAX(0,'Start Here'!$B$10-SUM($AJ63:$AS63)-SUMPRODUCT(($Z$3:$AI$3&lt;AA$3)*($Z63:$AI63-$AJ63:$AS63))))</f>
        <v>0</v>
      </c>
      <c r="H63" s="42" t="n">
        <f aca="false">AL63+MIN(AB63-AL63,MAX(0,'Start Here'!$B$10-SUM($AJ63:$AS63)-SUMPRODUCT(($Z$3:$AI$3&lt;AB$3)*($Z63:$AI63-$AJ63:$AS63))))</f>
        <v>0</v>
      </c>
      <c r="I63" s="42" t="n">
        <f aca="false">AM63+MIN(AC63-AM63,MAX(0,'Start Here'!$B$10-SUM($AJ63:$AS63)-SUMPRODUCT(($Z$3:$AI$3&lt;AC$3)*($Z63:$AI63-$AJ63:$AS63))))</f>
        <v>0</v>
      </c>
      <c r="J63" s="42" t="n">
        <f aca="false">AN63+MIN(AD63-AN63,MAX(0,'Start Here'!$B$10-SUM($AJ63:$AS63)-SUMPRODUCT(($Z$3:$AI$3&lt;AD$3)*($Z63:$AI63-$AJ63:$AS63))))</f>
        <v>0</v>
      </c>
      <c r="K63" s="42" t="n">
        <f aca="false">AO63+MIN(AE63-AO63,MAX(0,'Start Here'!$B$10-SUM($AJ63:$AS63)-SUMPRODUCT(($Z$3:$AI$3&lt;AE$3)*($Z63:$AI63-$AJ63:$AS63))))</f>
        <v>0</v>
      </c>
      <c r="L63" s="42" t="n">
        <f aca="false">AP63+MIN(AF63-AP63,MAX(0,'Start Here'!$B$10-SUM($AJ63:$AS63)-SUMPRODUCT(($Z$3:$AI$3&lt;AF$3)*($Z63:$AI63-$AJ63:$AS63))))</f>
        <v>0</v>
      </c>
      <c r="M63" s="42" t="n">
        <f aca="false">AQ63+MIN(AG63-AQ63,MAX(0,'Start Here'!$B$10-SUM($AJ63:$AS63)-SUMPRODUCT(($Z$3:$AI$3&lt;AG$3)*($Z63:$AI63-$AJ63:$AS63))))</f>
        <v>0</v>
      </c>
      <c r="N63" s="42" t="n">
        <f aca="false">AR63+MIN(AH63-AR63,MAX(0,'Start Here'!$B$10-SUM($AJ63:$AS63)-SUMPRODUCT(($Z$3:$AI$3&lt;AH$3)*($Z63:$AI63-$AJ63:$AS63))))</f>
        <v>0</v>
      </c>
      <c r="O63" s="42" t="n">
        <f aca="false">AS63+MIN(AI63-AS63,MAX(0,'Start Here'!$B$10-SUM($AJ63:$AS63)-SUMPRODUCT(($Z$3:$AI$3&lt;AI$3)*($Z63:$AI63-$AJ63:$AS63))))</f>
        <v>0</v>
      </c>
      <c r="P63" s="42" t="n">
        <f aca="false">ROUND(Z63-F63,2)</f>
        <v>0</v>
      </c>
      <c r="Q63" s="42" t="n">
        <f aca="false">ROUND(AA63-G63,2)</f>
        <v>0</v>
      </c>
      <c r="R63" s="42" t="n">
        <f aca="false">ROUND(AB63-H63,2)</f>
        <v>0</v>
      </c>
      <c r="S63" s="42" t="n">
        <f aca="false">ROUND(AC63-I63,2)</f>
        <v>0</v>
      </c>
      <c r="T63" s="42" t="n">
        <f aca="false">ROUND(AD63-J63,2)</f>
        <v>0</v>
      </c>
      <c r="U63" s="42" t="n">
        <f aca="false">ROUND(AE63-K63,2)</f>
        <v>0</v>
      </c>
      <c r="V63" s="42" t="n">
        <f aca="false">ROUND(AF63-L63,2)</f>
        <v>0</v>
      </c>
      <c r="W63" s="42" t="n">
        <f aca="false">ROUND(AG63-M63,2)</f>
        <v>0</v>
      </c>
      <c r="X63" s="42" t="n">
        <f aca="false">ROUND(AH63-N63,2)</f>
        <v>0</v>
      </c>
      <c r="Y63" s="42" t="n">
        <f aca="false">ROUND(AI63-O63,2)</f>
        <v>0</v>
      </c>
      <c r="Z63" s="56" t="n">
        <f aca="false">ROUND(P62*(1+N(Debts!$D$5)/12),2)</f>
        <v>0</v>
      </c>
      <c r="AA63" s="56" t="n">
        <f aca="false">ROUND(Q62*(1+N(Debts!$D$6)/12),2)</f>
        <v>0</v>
      </c>
      <c r="AB63" s="56" t="n">
        <f aca="false">ROUND(R62*(1+N(Debts!$D$7)/12),2)</f>
        <v>0</v>
      </c>
      <c r="AC63" s="56" t="n">
        <f aca="false">ROUND(S62*(1+N(Debts!$D$8)/12),2)</f>
        <v>0</v>
      </c>
      <c r="AD63" s="56" t="n">
        <f aca="false">ROUND(T62*(1+N(Debts!$D$9)/12),2)</f>
        <v>0</v>
      </c>
      <c r="AE63" s="56" t="n">
        <f aca="false">ROUND(U62*(1+N(Debts!$D$10)/12),2)</f>
        <v>0</v>
      </c>
      <c r="AF63" s="56" t="n">
        <f aca="false">ROUND(V62*(1+N(Debts!$D$11)/12),2)</f>
        <v>0</v>
      </c>
      <c r="AG63" s="56" t="n">
        <f aca="false">ROUND(W62*(1+N(Debts!$D$12)/12),2)</f>
        <v>0</v>
      </c>
      <c r="AH63" s="56" t="n">
        <f aca="false">ROUND(X62*(1+N(Debts!$D$13)/12),2)</f>
        <v>0</v>
      </c>
      <c r="AI63" s="56" t="n">
        <f aca="false">ROUND(Y62*(1+N(Debts!$D$14)/12),2)</f>
        <v>0</v>
      </c>
      <c r="AJ63" s="56" t="n">
        <f aca="false">MIN(Z63,MAX(0,N(Debts!$E$5)))</f>
        <v>0</v>
      </c>
      <c r="AK63" s="56" t="n">
        <f aca="false">MIN(AA63,MAX(0,N(Debts!$E$6)))</f>
        <v>0</v>
      </c>
      <c r="AL63" s="56" t="n">
        <f aca="false">MIN(AB63,MAX(0,N(Debts!$E$7)))</f>
        <v>0</v>
      </c>
      <c r="AM63" s="56" t="n">
        <f aca="false">MIN(AC63,MAX(0,N(Debts!$E$8)))</f>
        <v>0</v>
      </c>
      <c r="AN63" s="56" t="n">
        <f aca="false">MIN(AD63,MAX(0,N(Debts!$E$9)))</f>
        <v>0</v>
      </c>
      <c r="AO63" s="56" t="n">
        <f aca="false">MIN(AE63,MAX(0,N(Debts!$E$10)))</f>
        <v>0</v>
      </c>
      <c r="AP63" s="56" t="n">
        <f aca="false">MIN(AF63,MAX(0,N(Debts!$E$11)))</f>
        <v>0</v>
      </c>
      <c r="AQ63" s="56" t="n">
        <f aca="false">MIN(AG63,MAX(0,N(Debts!$E$12)))</f>
        <v>0</v>
      </c>
      <c r="AR63" s="56" t="n">
        <f aca="false">MIN(AH63,MAX(0,N(Debts!$E$13)))</f>
        <v>0</v>
      </c>
      <c r="AS63" s="56" t="n">
        <f aca="false">MIN(AI63,MAX(0,N(Debts!$E$14)))</f>
        <v>0</v>
      </c>
    </row>
    <row r="64" customFormat="false" ht="15" hidden="false" customHeight="false" outlineLevel="0" collapsed="false">
      <c r="A64" s="53" t="n">
        <v>60</v>
      </c>
      <c r="B64" s="54" t="n">
        <f aca="false">EDATE('Start Here'!$B$8,59)</f>
        <v>48122</v>
      </c>
      <c r="C64" s="42" t="n">
        <f aca="false">SUM(F64:O64)</f>
        <v>0</v>
      </c>
      <c r="D64" s="42" t="n">
        <f aca="false">ROUND(SUM($Z64:$AI64)-SUM(P63:Y63),2)</f>
        <v>0</v>
      </c>
      <c r="E64" s="55" t="n">
        <f aca="false">SUM(P64:Y64)</f>
        <v>0</v>
      </c>
      <c r="F64" s="42" t="n">
        <f aca="false">AJ64+MIN(Z64-AJ64,MAX(0,'Start Here'!$B$10-SUM($AJ64:$AS64)-SUMPRODUCT(($Z$3:$AI$3&lt;Z$3)*($Z64:$AI64-$AJ64:$AS64))))</f>
        <v>0</v>
      </c>
      <c r="G64" s="42" t="n">
        <f aca="false">AK64+MIN(AA64-AK64,MAX(0,'Start Here'!$B$10-SUM($AJ64:$AS64)-SUMPRODUCT(($Z$3:$AI$3&lt;AA$3)*($Z64:$AI64-$AJ64:$AS64))))</f>
        <v>0</v>
      </c>
      <c r="H64" s="42" t="n">
        <f aca="false">AL64+MIN(AB64-AL64,MAX(0,'Start Here'!$B$10-SUM($AJ64:$AS64)-SUMPRODUCT(($Z$3:$AI$3&lt;AB$3)*($Z64:$AI64-$AJ64:$AS64))))</f>
        <v>0</v>
      </c>
      <c r="I64" s="42" t="n">
        <f aca="false">AM64+MIN(AC64-AM64,MAX(0,'Start Here'!$B$10-SUM($AJ64:$AS64)-SUMPRODUCT(($Z$3:$AI$3&lt;AC$3)*($Z64:$AI64-$AJ64:$AS64))))</f>
        <v>0</v>
      </c>
      <c r="J64" s="42" t="n">
        <f aca="false">AN64+MIN(AD64-AN64,MAX(0,'Start Here'!$B$10-SUM($AJ64:$AS64)-SUMPRODUCT(($Z$3:$AI$3&lt;AD$3)*($Z64:$AI64-$AJ64:$AS64))))</f>
        <v>0</v>
      </c>
      <c r="K64" s="42" t="n">
        <f aca="false">AO64+MIN(AE64-AO64,MAX(0,'Start Here'!$B$10-SUM($AJ64:$AS64)-SUMPRODUCT(($Z$3:$AI$3&lt;AE$3)*($Z64:$AI64-$AJ64:$AS64))))</f>
        <v>0</v>
      </c>
      <c r="L64" s="42" t="n">
        <f aca="false">AP64+MIN(AF64-AP64,MAX(0,'Start Here'!$B$10-SUM($AJ64:$AS64)-SUMPRODUCT(($Z$3:$AI$3&lt;AF$3)*($Z64:$AI64-$AJ64:$AS64))))</f>
        <v>0</v>
      </c>
      <c r="M64" s="42" t="n">
        <f aca="false">AQ64+MIN(AG64-AQ64,MAX(0,'Start Here'!$B$10-SUM($AJ64:$AS64)-SUMPRODUCT(($Z$3:$AI$3&lt;AG$3)*($Z64:$AI64-$AJ64:$AS64))))</f>
        <v>0</v>
      </c>
      <c r="N64" s="42" t="n">
        <f aca="false">AR64+MIN(AH64-AR64,MAX(0,'Start Here'!$B$10-SUM($AJ64:$AS64)-SUMPRODUCT(($Z$3:$AI$3&lt;AH$3)*($Z64:$AI64-$AJ64:$AS64))))</f>
        <v>0</v>
      </c>
      <c r="O64" s="42" t="n">
        <f aca="false">AS64+MIN(AI64-AS64,MAX(0,'Start Here'!$B$10-SUM($AJ64:$AS64)-SUMPRODUCT(($Z$3:$AI$3&lt;AI$3)*($Z64:$AI64-$AJ64:$AS64))))</f>
        <v>0</v>
      </c>
      <c r="P64" s="42" t="n">
        <f aca="false">ROUND(Z64-F64,2)</f>
        <v>0</v>
      </c>
      <c r="Q64" s="42" t="n">
        <f aca="false">ROUND(AA64-G64,2)</f>
        <v>0</v>
      </c>
      <c r="R64" s="42" t="n">
        <f aca="false">ROUND(AB64-H64,2)</f>
        <v>0</v>
      </c>
      <c r="S64" s="42" t="n">
        <f aca="false">ROUND(AC64-I64,2)</f>
        <v>0</v>
      </c>
      <c r="T64" s="42" t="n">
        <f aca="false">ROUND(AD64-J64,2)</f>
        <v>0</v>
      </c>
      <c r="U64" s="42" t="n">
        <f aca="false">ROUND(AE64-K64,2)</f>
        <v>0</v>
      </c>
      <c r="V64" s="42" t="n">
        <f aca="false">ROUND(AF64-L64,2)</f>
        <v>0</v>
      </c>
      <c r="W64" s="42" t="n">
        <f aca="false">ROUND(AG64-M64,2)</f>
        <v>0</v>
      </c>
      <c r="X64" s="42" t="n">
        <f aca="false">ROUND(AH64-N64,2)</f>
        <v>0</v>
      </c>
      <c r="Y64" s="42" t="n">
        <f aca="false">ROUND(AI64-O64,2)</f>
        <v>0</v>
      </c>
      <c r="Z64" s="56" t="n">
        <f aca="false">ROUND(P63*(1+N(Debts!$D$5)/12),2)</f>
        <v>0</v>
      </c>
      <c r="AA64" s="56" t="n">
        <f aca="false">ROUND(Q63*(1+N(Debts!$D$6)/12),2)</f>
        <v>0</v>
      </c>
      <c r="AB64" s="56" t="n">
        <f aca="false">ROUND(R63*(1+N(Debts!$D$7)/12),2)</f>
        <v>0</v>
      </c>
      <c r="AC64" s="56" t="n">
        <f aca="false">ROUND(S63*(1+N(Debts!$D$8)/12),2)</f>
        <v>0</v>
      </c>
      <c r="AD64" s="56" t="n">
        <f aca="false">ROUND(T63*(1+N(Debts!$D$9)/12),2)</f>
        <v>0</v>
      </c>
      <c r="AE64" s="56" t="n">
        <f aca="false">ROUND(U63*(1+N(Debts!$D$10)/12),2)</f>
        <v>0</v>
      </c>
      <c r="AF64" s="56" t="n">
        <f aca="false">ROUND(V63*(1+N(Debts!$D$11)/12),2)</f>
        <v>0</v>
      </c>
      <c r="AG64" s="56" t="n">
        <f aca="false">ROUND(W63*(1+N(Debts!$D$12)/12),2)</f>
        <v>0</v>
      </c>
      <c r="AH64" s="56" t="n">
        <f aca="false">ROUND(X63*(1+N(Debts!$D$13)/12),2)</f>
        <v>0</v>
      </c>
      <c r="AI64" s="56" t="n">
        <f aca="false">ROUND(Y63*(1+N(Debts!$D$14)/12),2)</f>
        <v>0</v>
      </c>
      <c r="AJ64" s="56" t="n">
        <f aca="false">MIN(Z64,MAX(0,N(Debts!$E$5)))</f>
        <v>0</v>
      </c>
      <c r="AK64" s="56" t="n">
        <f aca="false">MIN(AA64,MAX(0,N(Debts!$E$6)))</f>
        <v>0</v>
      </c>
      <c r="AL64" s="56" t="n">
        <f aca="false">MIN(AB64,MAX(0,N(Debts!$E$7)))</f>
        <v>0</v>
      </c>
      <c r="AM64" s="56" t="n">
        <f aca="false">MIN(AC64,MAX(0,N(Debts!$E$8)))</f>
        <v>0</v>
      </c>
      <c r="AN64" s="56" t="n">
        <f aca="false">MIN(AD64,MAX(0,N(Debts!$E$9)))</f>
        <v>0</v>
      </c>
      <c r="AO64" s="56" t="n">
        <f aca="false">MIN(AE64,MAX(0,N(Debts!$E$10)))</f>
        <v>0</v>
      </c>
      <c r="AP64" s="56" t="n">
        <f aca="false">MIN(AF64,MAX(0,N(Debts!$E$11)))</f>
        <v>0</v>
      </c>
      <c r="AQ64" s="56" t="n">
        <f aca="false">MIN(AG64,MAX(0,N(Debts!$E$12)))</f>
        <v>0</v>
      </c>
      <c r="AR64" s="56" t="n">
        <f aca="false">MIN(AH64,MAX(0,N(Debts!$E$13)))</f>
        <v>0</v>
      </c>
      <c r="AS64" s="56" t="n">
        <f aca="false">MIN(AI64,MAX(0,N(Debts!$E$14)))</f>
        <v>0</v>
      </c>
    </row>
    <row r="65" customFormat="false" ht="15" hidden="false" customHeight="false" outlineLevel="0" collapsed="false">
      <c r="A65" s="53" t="n">
        <v>61</v>
      </c>
      <c r="B65" s="54" t="n">
        <f aca="false">EDATE('Start Here'!$B$8,60)</f>
        <v>48153</v>
      </c>
      <c r="C65" s="42" t="n">
        <f aca="false">SUM(F65:O65)</f>
        <v>0</v>
      </c>
      <c r="D65" s="42" t="n">
        <f aca="false">ROUND(SUM($Z65:$AI65)-SUM(P64:Y64),2)</f>
        <v>0</v>
      </c>
      <c r="E65" s="55" t="n">
        <f aca="false">SUM(P65:Y65)</f>
        <v>0</v>
      </c>
      <c r="F65" s="42" t="n">
        <f aca="false">AJ65+MIN(Z65-AJ65,MAX(0,'Start Here'!$B$10-SUM($AJ65:$AS65)-SUMPRODUCT(($Z$3:$AI$3&lt;Z$3)*($Z65:$AI65-$AJ65:$AS65))))</f>
        <v>0</v>
      </c>
      <c r="G65" s="42" t="n">
        <f aca="false">AK65+MIN(AA65-AK65,MAX(0,'Start Here'!$B$10-SUM($AJ65:$AS65)-SUMPRODUCT(($Z$3:$AI$3&lt;AA$3)*($Z65:$AI65-$AJ65:$AS65))))</f>
        <v>0</v>
      </c>
      <c r="H65" s="42" t="n">
        <f aca="false">AL65+MIN(AB65-AL65,MAX(0,'Start Here'!$B$10-SUM($AJ65:$AS65)-SUMPRODUCT(($Z$3:$AI$3&lt;AB$3)*($Z65:$AI65-$AJ65:$AS65))))</f>
        <v>0</v>
      </c>
      <c r="I65" s="42" t="n">
        <f aca="false">AM65+MIN(AC65-AM65,MAX(0,'Start Here'!$B$10-SUM($AJ65:$AS65)-SUMPRODUCT(($Z$3:$AI$3&lt;AC$3)*($Z65:$AI65-$AJ65:$AS65))))</f>
        <v>0</v>
      </c>
      <c r="J65" s="42" t="n">
        <f aca="false">AN65+MIN(AD65-AN65,MAX(0,'Start Here'!$B$10-SUM($AJ65:$AS65)-SUMPRODUCT(($Z$3:$AI$3&lt;AD$3)*($Z65:$AI65-$AJ65:$AS65))))</f>
        <v>0</v>
      </c>
      <c r="K65" s="42" t="n">
        <f aca="false">AO65+MIN(AE65-AO65,MAX(0,'Start Here'!$B$10-SUM($AJ65:$AS65)-SUMPRODUCT(($Z$3:$AI$3&lt;AE$3)*($Z65:$AI65-$AJ65:$AS65))))</f>
        <v>0</v>
      </c>
      <c r="L65" s="42" t="n">
        <f aca="false">AP65+MIN(AF65-AP65,MAX(0,'Start Here'!$B$10-SUM($AJ65:$AS65)-SUMPRODUCT(($Z$3:$AI$3&lt;AF$3)*($Z65:$AI65-$AJ65:$AS65))))</f>
        <v>0</v>
      </c>
      <c r="M65" s="42" t="n">
        <f aca="false">AQ65+MIN(AG65-AQ65,MAX(0,'Start Here'!$B$10-SUM($AJ65:$AS65)-SUMPRODUCT(($Z$3:$AI$3&lt;AG$3)*($Z65:$AI65-$AJ65:$AS65))))</f>
        <v>0</v>
      </c>
      <c r="N65" s="42" t="n">
        <f aca="false">AR65+MIN(AH65-AR65,MAX(0,'Start Here'!$B$10-SUM($AJ65:$AS65)-SUMPRODUCT(($Z$3:$AI$3&lt;AH$3)*($Z65:$AI65-$AJ65:$AS65))))</f>
        <v>0</v>
      </c>
      <c r="O65" s="42" t="n">
        <f aca="false">AS65+MIN(AI65-AS65,MAX(0,'Start Here'!$B$10-SUM($AJ65:$AS65)-SUMPRODUCT(($Z$3:$AI$3&lt;AI$3)*($Z65:$AI65-$AJ65:$AS65))))</f>
        <v>0</v>
      </c>
      <c r="P65" s="42" t="n">
        <f aca="false">ROUND(Z65-F65,2)</f>
        <v>0</v>
      </c>
      <c r="Q65" s="42" t="n">
        <f aca="false">ROUND(AA65-G65,2)</f>
        <v>0</v>
      </c>
      <c r="R65" s="42" t="n">
        <f aca="false">ROUND(AB65-H65,2)</f>
        <v>0</v>
      </c>
      <c r="S65" s="42" t="n">
        <f aca="false">ROUND(AC65-I65,2)</f>
        <v>0</v>
      </c>
      <c r="T65" s="42" t="n">
        <f aca="false">ROUND(AD65-J65,2)</f>
        <v>0</v>
      </c>
      <c r="U65" s="42" t="n">
        <f aca="false">ROUND(AE65-K65,2)</f>
        <v>0</v>
      </c>
      <c r="V65" s="42" t="n">
        <f aca="false">ROUND(AF65-L65,2)</f>
        <v>0</v>
      </c>
      <c r="W65" s="42" t="n">
        <f aca="false">ROUND(AG65-M65,2)</f>
        <v>0</v>
      </c>
      <c r="X65" s="42" t="n">
        <f aca="false">ROUND(AH65-N65,2)</f>
        <v>0</v>
      </c>
      <c r="Y65" s="42" t="n">
        <f aca="false">ROUND(AI65-O65,2)</f>
        <v>0</v>
      </c>
      <c r="Z65" s="56" t="n">
        <f aca="false">ROUND(P64*(1+N(Debts!$D$5)/12),2)</f>
        <v>0</v>
      </c>
      <c r="AA65" s="56" t="n">
        <f aca="false">ROUND(Q64*(1+N(Debts!$D$6)/12),2)</f>
        <v>0</v>
      </c>
      <c r="AB65" s="56" t="n">
        <f aca="false">ROUND(R64*(1+N(Debts!$D$7)/12),2)</f>
        <v>0</v>
      </c>
      <c r="AC65" s="56" t="n">
        <f aca="false">ROUND(S64*(1+N(Debts!$D$8)/12),2)</f>
        <v>0</v>
      </c>
      <c r="AD65" s="56" t="n">
        <f aca="false">ROUND(T64*(1+N(Debts!$D$9)/12),2)</f>
        <v>0</v>
      </c>
      <c r="AE65" s="56" t="n">
        <f aca="false">ROUND(U64*(1+N(Debts!$D$10)/12),2)</f>
        <v>0</v>
      </c>
      <c r="AF65" s="56" t="n">
        <f aca="false">ROUND(V64*(1+N(Debts!$D$11)/12),2)</f>
        <v>0</v>
      </c>
      <c r="AG65" s="56" t="n">
        <f aca="false">ROUND(W64*(1+N(Debts!$D$12)/12),2)</f>
        <v>0</v>
      </c>
      <c r="AH65" s="56" t="n">
        <f aca="false">ROUND(X64*(1+N(Debts!$D$13)/12),2)</f>
        <v>0</v>
      </c>
      <c r="AI65" s="56" t="n">
        <f aca="false">ROUND(Y64*(1+N(Debts!$D$14)/12),2)</f>
        <v>0</v>
      </c>
      <c r="AJ65" s="56" t="n">
        <f aca="false">MIN(Z65,MAX(0,N(Debts!$E$5)))</f>
        <v>0</v>
      </c>
      <c r="AK65" s="56" t="n">
        <f aca="false">MIN(AA65,MAX(0,N(Debts!$E$6)))</f>
        <v>0</v>
      </c>
      <c r="AL65" s="56" t="n">
        <f aca="false">MIN(AB65,MAX(0,N(Debts!$E$7)))</f>
        <v>0</v>
      </c>
      <c r="AM65" s="56" t="n">
        <f aca="false">MIN(AC65,MAX(0,N(Debts!$E$8)))</f>
        <v>0</v>
      </c>
      <c r="AN65" s="56" t="n">
        <f aca="false">MIN(AD65,MAX(0,N(Debts!$E$9)))</f>
        <v>0</v>
      </c>
      <c r="AO65" s="56" t="n">
        <f aca="false">MIN(AE65,MAX(0,N(Debts!$E$10)))</f>
        <v>0</v>
      </c>
      <c r="AP65" s="56" t="n">
        <f aca="false">MIN(AF65,MAX(0,N(Debts!$E$11)))</f>
        <v>0</v>
      </c>
      <c r="AQ65" s="56" t="n">
        <f aca="false">MIN(AG65,MAX(0,N(Debts!$E$12)))</f>
        <v>0</v>
      </c>
      <c r="AR65" s="56" t="n">
        <f aca="false">MIN(AH65,MAX(0,N(Debts!$E$13)))</f>
        <v>0</v>
      </c>
      <c r="AS65" s="56" t="n">
        <f aca="false">MIN(AI65,MAX(0,N(Debts!$E$14)))</f>
        <v>0</v>
      </c>
    </row>
    <row r="66" customFormat="false" ht="15" hidden="false" customHeight="false" outlineLevel="0" collapsed="false">
      <c r="A66" s="53" t="n">
        <v>62</v>
      </c>
      <c r="B66" s="54" t="n">
        <f aca="false">EDATE('Start Here'!$B$8,61)</f>
        <v>48183</v>
      </c>
      <c r="C66" s="42" t="n">
        <f aca="false">SUM(F66:O66)</f>
        <v>0</v>
      </c>
      <c r="D66" s="42" t="n">
        <f aca="false">ROUND(SUM($Z66:$AI66)-SUM(P65:Y65),2)</f>
        <v>0</v>
      </c>
      <c r="E66" s="55" t="n">
        <f aca="false">SUM(P66:Y66)</f>
        <v>0</v>
      </c>
      <c r="F66" s="42" t="n">
        <f aca="false">AJ66+MIN(Z66-AJ66,MAX(0,'Start Here'!$B$10-SUM($AJ66:$AS66)-SUMPRODUCT(($Z$3:$AI$3&lt;Z$3)*($Z66:$AI66-$AJ66:$AS66))))</f>
        <v>0</v>
      </c>
      <c r="G66" s="42" t="n">
        <f aca="false">AK66+MIN(AA66-AK66,MAX(0,'Start Here'!$B$10-SUM($AJ66:$AS66)-SUMPRODUCT(($Z$3:$AI$3&lt;AA$3)*($Z66:$AI66-$AJ66:$AS66))))</f>
        <v>0</v>
      </c>
      <c r="H66" s="42" t="n">
        <f aca="false">AL66+MIN(AB66-AL66,MAX(0,'Start Here'!$B$10-SUM($AJ66:$AS66)-SUMPRODUCT(($Z$3:$AI$3&lt;AB$3)*($Z66:$AI66-$AJ66:$AS66))))</f>
        <v>0</v>
      </c>
      <c r="I66" s="42" t="n">
        <f aca="false">AM66+MIN(AC66-AM66,MAX(0,'Start Here'!$B$10-SUM($AJ66:$AS66)-SUMPRODUCT(($Z$3:$AI$3&lt;AC$3)*($Z66:$AI66-$AJ66:$AS66))))</f>
        <v>0</v>
      </c>
      <c r="J66" s="42" t="n">
        <f aca="false">AN66+MIN(AD66-AN66,MAX(0,'Start Here'!$B$10-SUM($AJ66:$AS66)-SUMPRODUCT(($Z$3:$AI$3&lt;AD$3)*($Z66:$AI66-$AJ66:$AS66))))</f>
        <v>0</v>
      </c>
      <c r="K66" s="42" t="n">
        <f aca="false">AO66+MIN(AE66-AO66,MAX(0,'Start Here'!$B$10-SUM($AJ66:$AS66)-SUMPRODUCT(($Z$3:$AI$3&lt;AE$3)*($Z66:$AI66-$AJ66:$AS66))))</f>
        <v>0</v>
      </c>
      <c r="L66" s="42" t="n">
        <f aca="false">AP66+MIN(AF66-AP66,MAX(0,'Start Here'!$B$10-SUM($AJ66:$AS66)-SUMPRODUCT(($Z$3:$AI$3&lt;AF$3)*($Z66:$AI66-$AJ66:$AS66))))</f>
        <v>0</v>
      </c>
      <c r="M66" s="42" t="n">
        <f aca="false">AQ66+MIN(AG66-AQ66,MAX(0,'Start Here'!$B$10-SUM($AJ66:$AS66)-SUMPRODUCT(($Z$3:$AI$3&lt;AG$3)*($Z66:$AI66-$AJ66:$AS66))))</f>
        <v>0</v>
      </c>
      <c r="N66" s="42" t="n">
        <f aca="false">AR66+MIN(AH66-AR66,MAX(0,'Start Here'!$B$10-SUM($AJ66:$AS66)-SUMPRODUCT(($Z$3:$AI$3&lt;AH$3)*($Z66:$AI66-$AJ66:$AS66))))</f>
        <v>0</v>
      </c>
      <c r="O66" s="42" t="n">
        <f aca="false">AS66+MIN(AI66-AS66,MAX(0,'Start Here'!$B$10-SUM($AJ66:$AS66)-SUMPRODUCT(($Z$3:$AI$3&lt;AI$3)*($Z66:$AI66-$AJ66:$AS66))))</f>
        <v>0</v>
      </c>
      <c r="P66" s="42" t="n">
        <f aca="false">ROUND(Z66-F66,2)</f>
        <v>0</v>
      </c>
      <c r="Q66" s="42" t="n">
        <f aca="false">ROUND(AA66-G66,2)</f>
        <v>0</v>
      </c>
      <c r="R66" s="42" t="n">
        <f aca="false">ROUND(AB66-H66,2)</f>
        <v>0</v>
      </c>
      <c r="S66" s="42" t="n">
        <f aca="false">ROUND(AC66-I66,2)</f>
        <v>0</v>
      </c>
      <c r="T66" s="42" t="n">
        <f aca="false">ROUND(AD66-J66,2)</f>
        <v>0</v>
      </c>
      <c r="U66" s="42" t="n">
        <f aca="false">ROUND(AE66-K66,2)</f>
        <v>0</v>
      </c>
      <c r="V66" s="42" t="n">
        <f aca="false">ROUND(AF66-L66,2)</f>
        <v>0</v>
      </c>
      <c r="W66" s="42" t="n">
        <f aca="false">ROUND(AG66-M66,2)</f>
        <v>0</v>
      </c>
      <c r="X66" s="42" t="n">
        <f aca="false">ROUND(AH66-N66,2)</f>
        <v>0</v>
      </c>
      <c r="Y66" s="42" t="n">
        <f aca="false">ROUND(AI66-O66,2)</f>
        <v>0</v>
      </c>
      <c r="Z66" s="56" t="n">
        <f aca="false">ROUND(P65*(1+N(Debts!$D$5)/12),2)</f>
        <v>0</v>
      </c>
      <c r="AA66" s="56" t="n">
        <f aca="false">ROUND(Q65*(1+N(Debts!$D$6)/12),2)</f>
        <v>0</v>
      </c>
      <c r="AB66" s="56" t="n">
        <f aca="false">ROUND(R65*(1+N(Debts!$D$7)/12),2)</f>
        <v>0</v>
      </c>
      <c r="AC66" s="56" t="n">
        <f aca="false">ROUND(S65*(1+N(Debts!$D$8)/12),2)</f>
        <v>0</v>
      </c>
      <c r="AD66" s="56" t="n">
        <f aca="false">ROUND(T65*(1+N(Debts!$D$9)/12),2)</f>
        <v>0</v>
      </c>
      <c r="AE66" s="56" t="n">
        <f aca="false">ROUND(U65*(1+N(Debts!$D$10)/12),2)</f>
        <v>0</v>
      </c>
      <c r="AF66" s="56" t="n">
        <f aca="false">ROUND(V65*(1+N(Debts!$D$11)/12),2)</f>
        <v>0</v>
      </c>
      <c r="AG66" s="56" t="n">
        <f aca="false">ROUND(W65*(1+N(Debts!$D$12)/12),2)</f>
        <v>0</v>
      </c>
      <c r="AH66" s="56" t="n">
        <f aca="false">ROUND(X65*(1+N(Debts!$D$13)/12),2)</f>
        <v>0</v>
      </c>
      <c r="AI66" s="56" t="n">
        <f aca="false">ROUND(Y65*(1+N(Debts!$D$14)/12),2)</f>
        <v>0</v>
      </c>
      <c r="AJ66" s="56" t="n">
        <f aca="false">MIN(Z66,MAX(0,N(Debts!$E$5)))</f>
        <v>0</v>
      </c>
      <c r="AK66" s="56" t="n">
        <f aca="false">MIN(AA66,MAX(0,N(Debts!$E$6)))</f>
        <v>0</v>
      </c>
      <c r="AL66" s="56" t="n">
        <f aca="false">MIN(AB66,MAX(0,N(Debts!$E$7)))</f>
        <v>0</v>
      </c>
      <c r="AM66" s="56" t="n">
        <f aca="false">MIN(AC66,MAX(0,N(Debts!$E$8)))</f>
        <v>0</v>
      </c>
      <c r="AN66" s="56" t="n">
        <f aca="false">MIN(AD66,MAX(0,N(Debts!$E$9)))</f>
        <v>0</v>
      </c>
      <c r="AO66" s="56" t="n">
        <f aca="false">MIN(AE66,MAX(0,N(Debts!$E$10)))</f>
        <v>0</v>
      </c>
      <c r="AP66" s="56" t="n">
        <f aca="false">MIN(AF66,MAX(0,N(Debts!$E$11)))</f>
        <v>0</v>
      </c>
      <c r="AQ66" s="56" t="n">
        <f aca="false">MIN(AG66,MAX(0,N(Debts!$E$12)))</f>
        <v>0</v>
      </c>
      <c r="AR66" s="56" t="n">
        <f aca="false">MIN(AH66,MAX(0,N(Debts!$E$13)))</f>
        <v>0</v>
      </c>
      <c r="AS66" s="56" t="n">
        <f aca="false">MIN(AI66,MAX(0,N(Debts!$E$14)))</f>
        <v>0</v>
      </c>
    </row>
    <row r="67" customFormat="false" ht="15" hidden="false" customHeight="false" outlineLevel="0" collapsed="false">
      <c r="A67" s="53" t="n">
        <v>63</v>
      </c>
      <c r="B67" s="54" t="n">
        <f aca="false">EDATE('Start Here'!$B$8,62)</f>
        <v>48214</v>
      </c>
      <c r="C67" s="42" t="n">
        <f aca="false">SUM(F67:O67)</f>
        <v>0</v>
      </c>
      <c r="D67" s="42" t="n">
        <f aca="false">ROUND(SUM($Z67:$AI67)-SUM(P66:Y66),2)</f>
        <v>0</v>
      </c>
      <c r="E67" s="55" t="n">
        <f aca="false">SUM(P67:Y67)</f>
        <v>0</v>
      </c>
      <c r="F67" s="42" t="n">
        <f aca="false">AJ67+MIN(Z67-AJ67,MAX(0,'Start Here'!$B$10-SUM($AJ67:$AS67)-SUMPRODUCT(($Z$3:$AI$3&lt;Z$3)*($Z67:$AI67-$AJ67:$AS67))))</f>
        <v>0</v>
      </c>
      <c r="G67" s="42" t="n">
        <f aca="false">AK67+MIN(AA67-AK67,MAX(0,'Start Here'!$B$10-SUM($AJ67:$AS67)-SUMPRODUCT(($Z$3:$AI$3&lt;AA$3)*($Z67:$AI67-$AJ67:$AS67))))</f>
        <v>0</v>
      </c>
      <c r="H67" s="42" t="n">
        <f aca="false">AL67+MIN(AB67-AL67,MAX(0,'Start Here'!$B$10-SUM($AJ67:$AS67)-SUMPRODUCT(($Z$3:$AI$3&lt;AB$3)*($Z67:$AI67-$AJ67:$AS67))))</f>
        <v>0</v>
      </c>
      <c r="I67" s="42" t="n">
        <f aca="false">AM67+MIN(AC67-AM67,MAX(0,'Start Here'!$B$10-SUM($AJ67:$AS67)-SUMPRODUCT(($Z$3:$AI$3&lt;AC$3)*($Z67:$AI67-$AJ67:$AS67))))</f>
        <v>0</v>
      </c>
      <c r="J67" s="42" t="n">
        <f aca="false">AN67+MIN(AD67-AN67,MAX(0,'Start Here'!$B$10-SUM($AJ67:$AS67)-SUMPRODUCT(($Z$3:$AI$3&lt;AD$3)*($Z67:$AI67-$AJ67:$AS67))))</f>
        <v>0</v>
      </c>
      <c r="K67" s="42" t="n">
        <f aca="false">AO67+MIN(AE67-AO67,MAX(0,'Start Here'!$B$10-SUM($AJ67:$AS67)-SUMPRODUCT(($Z$3:$AI$3&lt;AE$3)*($Z67:$AI67-$AJ67:$AS67))))</f>
        <v>0</v>
      </c>
      <c r="L67" s="42" t="n">
        <f aca="false">AP67+MIN(AF67-AP67,MAX(0,'Start Here'!$B$10-SUM($AJ67:$AS67)-SUMPRODUCT(($Z$3:$AI$3&lt;AF$3)*($Z67:$AI67-$AJ67:$AS67))))</f>
        <v>0</v>
      </c>
      <c r="M67" s="42" t="n">
        <f aca="false">AQ67+MIN(AG67-AQ67,MAX(0,'Start Here'!$B$10-SUM($AJ67:$AS67)-SUMPRODUCT(($Z$3:$AI$3&lt;AG$3)*($Z67:$AI67-$AJ67:$AS67))))</f>
        <v>0</v>
      </c>
      <c r="N67" s="42" t="n">
        <f aca="false">AR67+MIN(AH67-AR67,MAX(0,'Start Here'!$B$10-SUM($AJ67:$AS67)-SUMPRODUCT(($Z$3:$AI$3&lt;AH$3)*($Z67:$AI67-$AJ67:$AS67))))</f>
        <v>0</v>
      </c>
      <c r="O67" s="42" t="n">
        <f aca="false">AS67+MIN(AI67-AS67,MAX(0,'Start Here'!$B$10-SUM($AJ67:$AS67)-SUMPRODUCT(($Z$3:$AI$3&lt;AI$3)*($Z67:$AI67-$AJ67:$AS67))))</f>
        <v>0</v>
      </c>
      <c r="P67" s="42" t="n">
        <f aca="false">ROUND(Z67-F67,2)</f>
        <v>0</v>
      </c>
      <c r="Q67" s="42" t="n">
        <f aca="false">ROUND(AA67-G67,2)</f>
        <v>0</v>
      </c>
      <c r="R67" s="42" t="n">
        <f aca="false">ROUND(AB67-H67,2)</f>
        <v>0</v>
      </c>
      <c r="S67" s="42" t="n">
        <f aca="false">ROUND(AC67-I67,2)</f>
        <v>0</v>
      </c>
      <c r="T67" s="42" t="n">
        <f aca="false">ROUND(AD67-J67,2)</f>
        <v>0</v>
      </c>
      <c r="U67" s="42" t="n">
        <f aca="false">ROUND(AE67-K67,2)</f>
        <v>0</v>
      </c>
      <c r="V67" s="42" t="n">
        <f aca="false">ROUND(AF67-L67,2)</f>
        <v>0</v>
      </c>
      <c r="W67" s="42" t="n">
        <f aca="false">ROUND(AG67-M67,2)</f>
        <v>0</v>
      </c>
      <c r="X67" s="42" t="n">
        <f aca="false">ROUND(AH67-N67,2)</f>
        <v>0</v>
      </c>
      <c r="Y67" s="42" t="n">
        <f aca="false">ROUND(AI67-O67,2)</f>
        <v>0</v>
      </c>
      <c r="Z67" s="56" t="n">
        <f aca="false">ROUND(P66*(1+N(Debts!$D$5)/12),2)</f>
        <v>0</v>
      </c>
      <c r="AA67" s="56" t="n">
        <f aca="false">ROUND(Q66*(1+N(Debts!$D$6)/12),2)</f>
        <v>0</v>
      </c>
      <c r="AB67" s="56" t="n">
        <f aca="false">ROUND(R66*(1+N(Debts!$D$7)/12),2)</f>
        <v>0</v>
      </c>
      <c r="AC67" s="56" t="n">
        <f aca="false">ROUND(S66*(1+N(Debts!$D$8)/12),2)</f>
        <v>0</v>
      </c>
      <c r="AD67" s="56" t="n">
        <f aca="false">ROUND(T66*(1+N(Debts!$D$9)/12),2)</f>
        <v>0</v>
      </c>
      <c r="AE67" s="56" t="n">
        <f aca="false">ROUND(U66*(1+N(Debts!$D$10)/12),2)</f>
        <v>0</v>
      </c>
      <c r="AF67" s="56" t="n">
        <f aca="false">ROUND(V66*(1+N(Debts!$D$11)/12),2)</f>
        <v>0</v>
      </c>
      <c r="AG67" s="56" t="n">
        <f aca="false">ROUND(W66*(1+N(Debts!$D$12)/12),2)</f>
        <v>0</v>
      </c>
      <c r="AH67" s="56" t="n">
        <f aca="false">ROUND(X66*(1+N(Debts!$D$13)/12),2)</f>
        <v>0</v>
      </c>
      <c r="AI67" s="56" t="n">
        <f aca="false">ROUND(Y66*(1+N(Debts!$D$14)/12),2)</f>
        <v>0</v>
      </c>
      <c r="AJ67" s="56" t="n">
        <f aca="false">MIN(Z67,MAX(0,N(Debts!$E$5)))</f>
        <v>0</v>
      </c>
      <c r="AK67" s="56" t="n">
        <f aca="false">MIN(AA67,MAX(0,N(Debts!$E$6)))</f>
        <v>0</v>
      </c>
      <c r="AL67" s="56" t="n">
        <f aca="false">MIN(AB67,MAX(0,N(Debts!$E$7)))</f>
        <v>0</v>
      </c>
      <c r="AM67" s="56" t="n">
        <f aca="false">MIN(AC67,MAX(0,N(Debts!$E$8)))</f>
        <v>0</v>
      </c>
      <c r="AN67" s="56" t="n">
        <f aca="false">MIN(AD67,MAX(0,N(Debts!$E$9)))</f>
        <v>0</v>
      </c>
      <c r="AO67" s="56" t="n">
        <f aca="false">MIN(AE67,MAX(0,N(Debts!$E$10)))</f>
        <v>0</v>
      </c>
      <c r="AP67" s="56" t="n">
        <f aca="false">MIN(AF67,MAX(0,N(Debts!$E$11)))</f>
        <v>0</v>
      </c>
      <c r="AQ67" s="56" t="n">
        <f aca="false">MIN(AG67,MAX(0,N(Debts!$E$12)))</f>
        <v>0</v>
      </c>
      <c r="AR67" s="56" t="n">
        <f aca="false">MIN(AH67,MAX(0,N(Debts!$E$13)))</f>
        <v>0</v>
      </c>
      <c r="AS67" s="56" t="n">
        <f aca="false">MIN(AI67,MAX(0,N(Debts!$E$14)))</f>
        <v>0</v>
      </c>
    </row>
    <row r="68" customFormat="false" ht="15" hidden="false" customHeight="false" outlineLevel="0" collapsed="false">
      <c r="A68" s="53" t="n">
        <v>64</v>
      </c>
      <c r="B68" s="54" t="n">
        <f aca="false">EDATE('Start Here'!$B$8,63)</f>
        <v>48245</v>
      </c>
      <c r="C68" s="42" t="n">
        <f aca="false">SUM(F68:O68)</f>
        <v>0</v>
      </c>
      <c r="D68" s="42" t="n">
        <f aca="false">ROUND(SUM($Z68:$AI68)-SUM(P67:Y67),2)</f>
        <v>0</v>
      </c>
      <c r="E68" s="55" t="n">
        <f aca="false">SUM(P68:Y68)</f>
        <v>0</v>
      </c>
      <c r="F68" s="42" t="n">
        <f aca="false">AJ68+MIN(Z68-AJ68,MAX(0,'Start Here'!$B$10-SUM($AJ68:$AS68)-SUMPRODUCT(($Z$3:$AI$3&lt;Z$3)*($Z68:$AI68-$AJ68:$AS68))))</f>
        <v>0</v>
      </c>
      <c r="G68" s="42" t="n">
        <f aca="false">AK68+MIN(AA68-AK68,MAX(0,'Start Here'!$B$10-SUM($AJ68:$AS68)-SUMPRODUCT(($Z$3:$AI$3&lt;AA$3)*($Z68:$AI68-$AJ68:$AS68))))</f>
        <v>0</v>
      </c>
      <c r="H68" s="42" t="n">
        <f aca="false">AL68+MIN(AB68-AL68,MAX(0,'Start Here'!$B$10-SUM($AJ68:$AS68)-SUMPRODUCT(($Z$3:$AI$3&lt;AB$3)*($Z68:$AI68-$AJ68:$AS68))))</f>
        <v>0</v>
      </c>
      <c r="I68" s="42" t="n">
        <f aca="false">AM68+MIN(AC68-AM68,MAX(0,'Start Here'!$B$10-SUM($AJ68:$AS68)-SUMPRODUCT(($Z$3:$AI$3&lt;AC$3)*($Z68:$AI68-$AJ68:$AS68))))</f>
        <v>0</v>
      </c>
      <c r="J68" s="42" t="n">
        <f aca="false">AN68+MIN(AD68-AN68,MAX(0,'Start Here'!$B$10-SUM($AJ68:$AS68)-SUMPRODUCT(($Z$3:$AI$3&lt;AD$3)*($Z68:$AI68-$AJ68:$AS68))))</f>
        <v>0</v>
      </c>
      <c r="K68" s="42" t="n">
        <f aca="false">AO68+MIN(AE68-AO68,MAX(0,'Start Here'!$B$10-SUM($AJ68:$AS68)-SUMPRODUCT(($Z$3:$AI$3&lt;AE$3)*($Z68:$AI68-$AJ68:$AS68))))</f>
        <v>0</v>
      </c>
      <c r="L68" s="42" t="n">
        <f aca="false">AP68+MIN(AF68-AP68,MAX(0,'Start Here'!$B$10-SUM($AJ68:$AS68)-SUMPRODUCT(($Z$3:$AI$3&lt;AF$3)*($Z68:$AI68-$AJ68:$AS68))))</f>
        <v>0</v>
      </c>
      <c r="M68" s="42" t="n">
        <f aca="false">AQ68+MIN(AG68-AQ68,MAX(0,'Start Here'!$B$10-SUM($AJ68:$AS68)-SUMPRODUCT(($Z$3:$AI$3&lt;AG$3)*($Z68:$AI68-$AJ68:$AS68))))</f>
        <v>0</v>
      </c>
      <c r="N68" s="42" t="n">
        <f aca="false">AR68+MIN(AH68-AR68,MAX(0,'Start Here'!$B$10-SUM($AJ68:$AS68)-SUMPRODUCT(($Z$3:$AI$3&lt;AH$3)*($Z68:$AI68-$AJ68:$AS68))))</f>
        <v>0</v>
      </c>
      <c r="O68" s="42" t="n">
        <f aca="false">AS68+MIN(AI68-AS68,MAX(0,'Start Here'!$B$10-SUM($AJ68:$AS68)-SUMPRODUCT(($Z$3:$AI$3&lt;AI$3)*($Z68:$AI68-$AJ68:$AS68))))</f>
        <v>0</v>
      </c>
      <c r="P68" s="42" t="n">
        <f aca="false">ROUND(Z68-F68,2)</f>
        <v>0</v>
      </c>
      <c r="Q68" s="42" t="n">
        <f aca="false">ROUND(AA68-G68,2)</f>
        <v>0</v>
      </c>
      <c r="R68" s="42" t="n">
        <f aca="false">ROUND(AB68-H68,2)</f>
        <v>0</v>
      </c>
      <c r="S68" s="42" t="n">
        <f aca="false">ROUND(AC68-I68,2)</f>
        <v>0</v>
      </c>
      <c r="T68" s="42" t="n">
        <f aca="false">ROUND(AD68-J68,2)</f>
        <v>0</v>
      </c>
      <c r="U68" s="42" t="n">
        <f aca="false">ROUND(AE68-K68,2)</f>
        <v>0</v>
      </c>
      <c r="V68" s="42" t="n">
        <f aca="false">ROUND(AF68-L68,2)</f>
        <v>0</v>
      </c>
      <c r="W68" s="42" t="n">
        <f aca="false">ROUND(AG68-M68,2)</f>
        <v>0</v>
      </c>
      <c r="X68" s="42" t="n">
        <f aca="false">ROUND(AH68-N68,2)</f>
        <v>0</v>
      </c>
      <c r="Y68" s="42" t="n">
        <f aca="false">ROUND(AI68-O68,2)</f>
        <v>0</v>
      </c>
      <c r="Z68" s="56" t="n">
        <f aca="false">ROUND(P67*(1+N(Debts!$D$5)/12),2)</f>
        <v>0</v>
      </c>
      <c r="AA68" s="56" t="n">
        <f aca="false">ROUND(Q67*(1+N(Debts!$D$6)/12),2)</f>
        <v>0</v>
      </c>
      <c r="AB68" s="56" t="n">
        <f aca="false">ROUND(R67*(1+N(Debts!$D$7)/12),2)</f>
        <v>0</v>
      </c>
      <c r="AC68" s="56" t="n">
        <f aca="false">ROUND(S67*(1+N(Debts!$D$8)/12),2)</f>
        <v>0</v>
      </c>
      <c r="AD68" s="56" t="n">
        <f aca="false">ROUND(T67*(1+N(Debts!$D$9)/12),2)</f>
        <v>0</v>
      </c>
      <c r="AE68" s="56" t="n">
        <f aca="false">ROUND(U67*(1+N(Debts!$D$10)/12),2)</f>
        <v>0</v>
      </c>
      <c r="AF68" s="56" t="n">
        <f aca="false">ROUND(V67*(1+N(Debts!$D$11)/12),2)</f>
        <v>0</v>
      </c>
      <c r="AG68" s="56" t="n">
        <f aca="false">ROUND(W67*(1+N(Debts!$D$12)/12),2)</f>
        <v>0</v>
      </c>
      <c r="AH68" s="56" t="n">
        <f aca="false">ROUND(X67*(1+N(Debts!$D$13)/12),2)</f>
        <v>0</v>
      </c>
      <c r="AI68" s="56" t="n">
        <f aca="false">ROUND(Y67*(1+N(Debts!$D$14)/12),2)</f>
        <v>0</v>
      </c>
      <c r="AJ68" s="56" t="n">
        <f aca="false">MIN(Z68,MAX(0,N(Debts!$E$5)))</f>
        <v>0</v>
      </c>
      <c r="AK68" s="56" t="n">
        <f aca="false">MIN(AA68,MAX(0,N(Debts!$E$6)))</f>
        <v>0</v>
      </c>
      <c r="AL68" s="56" t="n">
        <f aca="false">MIN(AB68,MAX(0,N(Debts!$E$7)))</f>
        <v>0</v>
      </c>
      <c r="AM68" s="56" t="n">
        <f aca="false">MIN(AC68,MAX(0,N(Debts!$E$8)))</f>
        <v>0</v>
      </c>
      <c r="AN68" s="56" t="n">
        <f aca="false">MIN(AD68,MAX(0,N(Debts!$E$9)))</f>
        <v>0</v>
      </c>
      <c r="AO68" s="56" t="n">
        <f aca="false">MIN(AE68,MAX(0,N(Debts!$E$10)))</f>
        <v>0</v>
      </c>
      <c r="AP68" s="56" t="n">
        <f aca="false">MIN(AF68,MAX(0,N(Debts!$E$11)))</f>
        <v>0</v>
      </c>
      <c r="AQ68" s="56" t="n">
        <f aca="false">MIN(AG68,MAX(0,N(Debts!$E$12)))</f>
        <v>0</v>
      </c>
      <c r="AR68" s="56" t="n">
        <f aca="false">MIN(AH68,MAX(0,N(Debts!$E$13)))</f>
        <v>0</v>
      </c>
      <c r="AS68" s="56" t="n">
        <f aca="false">MIN(AI68,MAX(0,N(Debts!$E$14)))</f>
        <v>0</v>
      </c>
    </row>
    <row r="69" customFormat="false" ht="15" hidden="false" customHeight="false" outlineLevel="0" collapsed="false">
      <c r="A69" s="53" t="n">
        <v>65</v>
      </c>
      <c r="B69" s="54" t="n">
        <f aca="false">EDATE('Start Here'!$B$8,64)</f>
        <v>48274</v>
      </c>
      <c r="C69" s="42" t="n">
        <f aca="false">SUM(F69:O69)</f>
        <v>0</v>
      </c>
      <c r="D69" s="42" t="n">
        <f aca="false">ROUND(SUM($Z69:$AI69)-SUM(P68:Y68),2)</f>
        <v>0</v>
      </c>
      <c r="E69" s="55" t="n">
        <f aca="false">SUM(P69:Y69)</f>
        <v>0</v>
      </c>
      <c r="F69" s="42" t="n">
        <f aca="false">AJ69+MIN(Z69-AJ69,MAX(0,'Start Here'!$B$10-SUM($AJ69:$AS69)-SUMPRODUCT(($Z$3:$AI$3&lt;Z$3)*($Z69:$AI69-$AJ69:$AS69))))</f>
        <v>0</v>
      </c>
      <c r="G69" s="42" t="n">
        <f aca="false">AK69+MIN(AA69-AK69,MAX(0,'Start Here'!$B$10-SUM($AJ69:$AS69)-SUMPRODUCT(($Z$3:$AI$3&lt;AA$3)*($Z69:$AI69-$AJ69:$AS69))))</f>
        <v>0</v>
      </c>
      <c r="H69" s="42" t="n">
        <f aca="false">AL69+MIN(AB69-AL69,MAX(0,'Start Here'!$B$10-SUM($AJ69:$AS69)-SUMPRODUCT(($Z$3:$AI$3&lt;AB$3)*($Z69:$AI69-$AJ69:$AS69))))</f>
        <v>0</v>
      </c>
      <c r="I69" s="42" t="n">
        <f aca="false">AM69+MIN(AC69-AM69,MAX(0,'Start Here'!$B$10-SUM($AJ69:$AS69)-SUMPRODUCT(($Z$3:$AI$3&lt;AC$3)*($Z69:$AI69-$AJ69:$AS69))))</f>
        <v>0</v>
      </c>
      <c r="J69" s="42" t="n">
        <f aca="false">AN69+MIN(AD69-AN69,MAX(0,'Start Here'!$B$10-SUM($AJ69:$AS69)-SUMPRODUCT(($Z$3:$AI$3&lt;AD$3)*($Z69:$AI69-$AJ69:$AS69))))</f>
        <v>0</v>
      </c>
      <c r="K69" s="42" t="n">
        <f aca="false">AO69+MIN(AE69-AO69,MAX(0,'Start Here'!$B$10-SUM($AJ69:$AS69)-SUMPRODUCT(($Z$3:$AI$3&lt;AE$3)*($Z69:$AI69-$AJ69:$AS69))))</f>
        <v>0</v>
      </c>
      <c r="L69" s="42" t="n">
        <f aca="false">AP69+MIN(AF69-AP69,MAX(0,'Start Here'!$B$10-SUM($AJ69:$AS69)-SUMPRODUCT(($Z$3:$AI$3&lt;AF$3)*($Z69:$AI69-$AJ69:$AS69))))</f>
        <v>0</v>
      </c>
      <c r="M69" s="42" t="n">
        <f aca="false">AQ69+MIN(AG69-AQ69,MAX(0,'Start Here'!$B$10-SUM($AJ69:$AS69)-SUMPRODUCT(($Z$3:$AI$3&lt;AG$3)*($Z69:$AI69-$AJ69:$AS69))))</f>
        <v>0</v>
      </c>
      <c r="N69" s="42" t="n">
        <f aca="false">AR69+MIN(AH69-AR69,MAX(0,'Start Here'!$B$10-SUM($AJ69:$AS69)-SUMPRODUCT(($Z$3:$AI$3&lt;AH$3)*($Z69:$AI69-$AJ69:$AS69))))</f>
        <v>0</v>
      </c>
      <c r="O69" s="42" t="n">
        <f aca="false">AS69+MIN(AI69-AS69,MAX(0,'Start Here'!$B$10-SUM($AJ69:$AS69)-SUMPRODUCT(($Z$3:$AI$3&lt;AI$3)*($Z69:$AI69-$AJ69:$AS69))))</f>
        <v>0</v>
      </c>
      <c r="P69" s="42" t="n">
        <f aca="false">ROUND(Z69-F69,2)</f>
        <v>0</v>
      </c>
      <c r="Q69" s="42" t="n">
        <f aca="false">ROUND(AA69-G69,2)</f>
        <v>0</v>
      </c>
      <c r="R69" s="42" t="n">
        <f aca="false">ROUND(AB69-H69,2)</f>
        <v>0</v>
      </c>
      <c r="S69" s="42" t="n">
        <f aca="false">ROUND(AC69-I69,2)</f>
        <v>0</v>
      </c>
      <c r="T69" s="42" t="n">
        <f aca="false">ROUND(AD69-J69,2)</f>
        <v>0</v>
      </c>
      <c r="U69" s="42" t="n">
        <f aca="false">ROUND(AE69-K69,2)</f>
        <v>0</v>
      </c>
      <c r="V69" s="42" t="n">
        <f aca="false">ROUND(AF69-L69,2)</f>
        <v>0</v>
      </c>
      <c r="W69" s="42" t="n">
        <f aca="false">ROUND(AG69-M69,2)</f>
        <v>0</v>
      </c>
      <c r="X69" s="42" t="n">
        <f aca="false">ROUND(AH69-N69,2)</f>
        <v>0</v>
      </c>
      <c r="Y69" s="42" t="n">
        <f aca="false">ROUND(AI69-O69,2)</f>
        <v>0</v>
      </c>
      <c r="Z69" s="56" t="n">
        <f aca="false">ROUND(P68*(1+N(Debts!$D$5)/12),2)</f>
        <v>0</v>
      </c>
      <c r="AA69" s="56" t="n">
        <f aca="false">ROUND(Q68*(1+N(Debts!$D$6)/12),2)</f>
        <v>0</v>
      </c>
      <c r="AB69" s="56" t="n">
        <f aca="false">ROUND(R68*(1+N(Debts!$D$7)/12),2)</f>
        <v>0</v>
      </c>
      <c r="AC69" s="56" t="n">
        <f aca="false">ROUND(S68*(1+N(Debts!$D$8)/12),2)</f>
        <v>0</v>
      </c>
      <c r="AD69" s="56" t="n">
        <f aca="false">ROUND(T68*(1+N(Debts!$D$9)/12),2)</f>
        <v>0</v>
      </c>
      <c r="AE69" s="56" t="n">
        <f aca="false">ROUND(U68*(1+N(Debts!$D$10)/12),2)</f>
        <v>0</v>
      </c>
      <c r="AF69" s="56" t="n">
        <f aca="false">ROUND(V68*(1+N(Debts!$D$11)/12),2)</f>
        <v>0</v>
      </c>
      <c r="AG69" s="56" t="n">
        <f aca="false">ROUND(W68*(1+N(Debts!$D$12)/12),2)</f>
        <v>0</v>
      </c>
      <c r="AH69" s="56" t="n">
        <f aca="false">ROUND(X68*(1+N(Debts!$D$13)/12),2)</f>
        <v>0</v>
      </c>
      <c r="AI69" s="56" t="n">
        <f aca="false">ROUND(Y68*(1+N(Debts!$D$14)/12),2)</f>
        <v>0</v>
      </c>
      <c r="AJ69" s="56" t="n">
        <f aca="false">MIN(Z69,MAX(0,N(Debts!$E$5)))</f>
        <v>0</v>
      </c>
      <c r="AK69" s="56" t="n">
        <f aca="false">MIN(AA69,MAX(0,N(Debts!$E$6)))</f>
        <v>0</v>
      </c>
      <c r="AL69" s="56" t="n">
        <f aca="false">MIN(AB69,MAX(0,N(Debts!$E$7)))</f>
        <v>0</v>
      </c>
      <c r="AM69" s="56" t="n">
        <f aca="false">MIN(AC69,MAX(0,N(Debts!$E$8)))</f>
        <v>0</v>
      </c>
      <c r="AN69" s="56" t="n">
        <f aca="false">MIN(AD69,MAX(0,N(Debts!$E$9)))</f>
        <v>0</v>
      </c>
      <c r="AO69" s="56" t="n">
        <f aca="false">MIN(AE69,MAX(0,N(Debts!$E$10)))</f>
        <v>0</v>
      </c>
      <c r="AP69" s="56" t="n">
        <f aca="false">MIN(AF69,MAX(0,N(Debts!$E$11)))</f>
        <v>0</v>
      </c>
      <c r="AQ69" s="56" t="n">
        <f aca="false">MIN(AG69,MAX(0,N(Debts!$E$12)))</f>
        <v>0</v>
      </c>
      <c r="AR69" s="56" t="n">
        <f aca="false">MIN(AH69,MAX(0,N(Debts!$E$13)))</f>
        <v>0</v>
      </c>
      <c r="AS69" s="56" t="n">
        <f aca="false">MIN(AI69,MAX(0,N(Debts!$E$14)))</f>
        <v>0</v>
      </c>
    </row>
    <row r="70" customFormat="false" ht="15" hidden="false" customHeight="false" outlineLevel="0" collapsed="false">
      <c r="A70" s="53" t="n">
        <v>66</v>
      </c>
      <c r="B70" s="54" t="n">
        <f aca="false">EDATE('Start Here'!$B$8,65)</f>
        <v>48305</v>
      </c>
      <c r="C70" s="42" t="n">
        <f aca="false">SUM(F70:O70)</f>
        <v>0</v>
      </c>
      <c r="D70" s="42" t="n">
        <f aca="false">ROUND(SUM($Z70:$AI70)-SUM(P69:Y69),2)</f>
        <v>0</v>
      </c>
      <c r="E70" s="55" t="n">
        <f aca="false">SUM(P70:Y70)</f>
        <v>0</v>
      </c>
      <c r="F70" s="42" t="n">
        <f aca="false">AJ70+MIN(Z70-AJ70,MAX(0,'Start Here'!$B$10-SUM($AJ70:$AS70)-SUMPRODUCT(($Z$3:$AI$3&lt;Z$3)*($Z70:$AI70-$AJ70:$AS70))))</f>
        <v>0</v>
      </c>
      <c r="G70" s="42" t="n">
        <f aca="false">AK70+MIN(AA70-AK70,MAX(0,'Start Here'!$B$10-SUM($AJ70:$AS70)-SUMPRODUCT(($Z$3:$AI$3&lt;AA$3)*($Z70:$AI70-$AJ70:$AS70))))</f>
        <v>0</v>
      </c>
      <c r="H70" s="42" t="n">
        <f aca="false">AL70+MIN(AB70-AL70,MAX(0,'Start Here'!$B$10-SUM($AJ70:$AS70)-SUMPRODUCT(($Z$3:$AI$3&lt;AB$3)*($Z70:$AI70-$AJ70:$AS70))))</f>
        <v>0</v>
      </c>
      <c r="I70" s="42" t="n">
        <f aca="false">AM70+MIN(AC70-AM70,MAX(0,'Start Here'!$B$10-SUM($AJ70:$AS70)-SUMPRODUCT(($Z$3:$AI$3&lt;AC$3)*($Z70:$AI70-$AJ70:$AS70))))</f>
        <v>0</v>
      </c>
      <c r="J70" s="42" t="n">
        <f aca="false">AN70+MIN(AD70-AN70,MAX(0,'Start Here'!$B$10-SUM($AJ70:$AS70)-SUMPRODUCT(($Z$3:$AI$3&lt;AD$3)*($Z70:$AI70-$AJ70:$AS70))))</f>
        <v>0</v>
      </c>
      <c r="K70" s="42" t="n">
        <f aca="false">AO70+MIN(AE70-AO70,MAX(0,'Start Here'!$B$10-SUM($AJ70:$AS70)-SUMPRODUCT(($Z$3:$AI$3&lt;AE$3)*($Z70:$AI70-$AJ70:$AS70))))</f>
        <v>0</v>
      </c>
      <c r="L70" s="42" t="n">
        <f aca="false">AP70+MIN(AF70-AP70,MAX(0,'Start Here'!$B$10-SUM($AJ70:$AS70)-SUMPRODUCT(($Z$3:$AI$3&lt;AF$3)*($Z70:$AI70-$AJ70:$AS70))))</f>
        <v>0</v>
      </c>
      <c r="M70" s="42" t="n">
        <f aca="false">AQ70+MIN(AG70-AQ70,MAX(0,'Start Here'!$B$10-SUM($AJ70:$AS70)-SUMPRODUCT(($Z$3:$AI$3&lt;AG$3)*($Z70:$AI70-$AJ70:$AS70))))</f>
        <v>0</v>
      </c>
      <c r="N70" s="42" t="n">
        <f aca="false">AR70+MIN(AH70-AR70,MAX(0,'Start Here'!$B$10-SUM($AJ70:$AS70)-SUMPRODUCT(($Z$3:$AI$3&lt;AH$3)*($Z70:$AI70-$AJ70:$AS70))))</f>
        <v>0</v>
      </c>
      <c r="O70" s="42" t="n">
        <f aca="false">AS70+MIN(AI70-AS70,MAX(0,'Start Here'!$B$10-SUM($AJ70:$AS70)-SUMPRODUCT(($Z$3:$AI$3&lt;AI$3)*($Z70:$AI70-$AJ70:$AS70))))</f>
        <v>0</v>
      </c>
      <c r="P70" s="42" t="n">
        <f aca="false">ROUND(Z70-F70,2)</f>
        <v>0</v>
      </c>
      <c r="Q70" s="42" t="n">
        <f aca="false">ROUND(AA70-G70,2)</f>
        <v>0</v>
      </c>
      <c r="R70" s="42" t="n">
        <f aca="false">ROUND(AB70-H70,2)</f>
        <v>0</v>
      </c>
      <c r="S70" s="42" t="n">
        <f aca="false">ROUND(AC70-I70,2)</f>
        <v>0</v>
      </c>
      <c r="T70" s="42" t="n">
        <f aca="false">ROUND(AD70-J70,2)</f>
        <v>0</v>
      </c>
      <c r="U70" s="42" t="n">
        <f aca="false">ROUND(AE70-K70,2)</f>
        <v>0</v>
      </c>
      <c r="V70" s="42" t="n">
        <f aca="false">ROUND(AF70-L70,2)</f>
        <v>0</v>
      </c>
      <c r="W70" s="42" t="n">
        <f aca="false">ROUND(AG70-M70,2)</f>
        <v>0</v>
      </c>
      <c r="X70" s="42" t="n">
        <f aca="false">ROUND(AH70-N70,2)</f>
        <v>0</v>
      </c>
      <c r="Y70" s="42" t="n">
        <f aca="false">ROUND(AI70-O70,2)</f>
        <v>0</v>
      </c>
      <c r="Z70" s="56" t="n">
        <f aca="false">ROUND(P69*(1+N(Debts!$D$5)/12),2)</f>
        <v>0</v>
      </c>
      <c r="AA70" s="56" t="n">
        <f aca="false">ROUND(Q69*(1+N(Debts!$D$6)/12),2)</f>
        <v>0</v>
      </c>
      <c r="AB70" s="56" t="n">
        <f aca="false">ROUND(R69*(1+N(Debts!$D$7)/12),2)</f>
        <v>0</v>
      </c>
      <c r="AC70" s="56" t="n">
        <f aca="false">ROUND(S69*(1+N(Debts!$D$8)/12),2)</f>
        <v>0</v>
      </c>
      <c r="AD70" s="56" t="n">
        <f aca="false">ROUND(T69*(1+N(Debts!$D$9)/12),2)</f>
        <v>0</v>
      </c>
      <c r="AE70" s="56" t="n">
        <f aca="false">ROUND(U69*(1+N(Debts!$D$10)/12),2)</f>
        <v>0</v>
      </c>
      <c r="AF70" s="56" t="n">
        <f aca="false">ROUND(V69*(1+N(Debts!$D$11)/12),2)</f>
        <v>0</v>
      </c>
      <c r="AG70" s="56" t="n">
        <f aca="false">ROUND(W69*(1+N(Debts!$D$12)/12),2)</f>
        <v>0</v>
      </c>
      <c r="AH70" s="56" t="n">
        <f aca="false">ROUND(X69*(1+N(Debts!$D$13)/12),2)</f>
        <v>0</v>
      </c>
      <c r="AI70" s="56" t="n">
        <f aca="false">ROUND(Y69*(1+N(Debts!$D$14)/12),2)</f>
        <v>0</v>
      </c>
      <c r="AJ70" s="56" t="n">
        <f aca="false">MIN(Z70,MAX(0,N(Debts!$E$5)))</f>
        <v>0</v>
      </c>
      <c r="AK70" s="56" t="n">
        <f aca="false">MIN(AA70,MAX(0,N(Debts!$E$6)))</f>
        <v>0</v>
      </c>
      <c r="AL70" s="56" t="n">
        <f aca="false">MIN(AB70,MAX(0,N(Debts!$E$7)))</f>
        <v>0</v>
      </c>
      <c r="AM70" s="56" t="n">
        <f aca="false">MIN(AC70,MAX(0,N(Debts!$E$8)))</f>
        <v>0</v>
      </c>
      <c r="AN70" s="56" t="n">
        <f aca="false">MIN(AD70,MAX(0,N(Debts!$E$9)))</f>
        <v>0</v>
      </c>
      <c r="AO70" s="56" t="n">
        <f aca="false">MIN(AE70,MAX(0,N(Debts!$E$10)))</f>
        <v>0</v>
      </c>
      <c r="AP70" s="56" t="n">
        <f aca="false">MIN(AF70,MAX(0,N(Debts!$E$11)))</f>
        <v>0</v>
      </c>
      <c r="AQ70" s="56" t="n">
        <f aca="false">MIN(AG70,MAX(0,N(Debts!$E$12)))</f>
        <v>0</v>
      </c>
      <c r="AR70" s="56" t="n">
        <f aca="false">MIN(AH70,MAX(0,N(Debts!$E$13)))</f>
        <v>0</v>
      </c>
      <c r="AS70" s="56" t="n">
        <f aca="false">MIN(AI70,MAX(0,N(Debts!$E$14)))</f>
        <v>0</v>
      </c>
    </row>
    <row r="71" customFormat="false" ht="15" hidden="false" customHeight="false" outlineLevel="0" collapsed="false">
      <c r="A71" s="53" t="n">
        <v>67</v>
      </c>
      <c r="B71" s="54" t="n">
        <f aca="false">EDATE('Start Here'!$B$8,66)</f>
        <v>48335</v>
      </c>
      <c r="C71" s="42" t="n">
        <f aca="false">SUM(F71:O71)</f>
        <v>0</v>
      </c>
      <c r="D71" s="42" t="n">
        <f aca="false">ROUND(SUM($Z71:$AI71)-SUM(P70:Y70),2)</f>
        <v>0</v>
      </c>
      <c r="E71" s="55" t="n">
        <f aca="false">SUM(P71:Y71)</f>
        <v>0</v>
      </c>
      <c r="F71" s="42" t="n">
        <f aca="false">AJ71+MIN(Z71-AJ71,MAX(0,'Start Here'!$B$10-SUM($AJ71:$AS71)-SUMPRODUCT(($Z$3:$AI$3&lt;Z$3)*($Z71:$AI71-$AJ71:$AS71))))</f>
        <v>0</v>
      </c>
      <c r="G71" s="42" t="n">
        <f aca="false">AK71+MIN(AA71-AK71,MAX(0,'Start Here'!$B$10-SUM($AJ71:$AS71)-SUMPRODUCT(($Z$3:$AI$3&lt;AA$3)*($Z71:$AI71-$AJ71:$AS71))))</f>
        <v>0</v>
      </c>
      <c r="H71" s="42" t="n">
        <f aca="false">AL71+MIN(AB71-AL71,MAX(0,'Start Here'!$B$10-SUM($AJ71:$AS71)-SUMPRODUCT(($Z$3:$AI$3&lt;AB$3)*($Z71:$AI71-$AJ71:$AS71))))</f>
        <v>0</v>
      </c>
      <c r="I71" s="42" t="n">
        <f aca="false">AM71+MIN(AC71-AM71,MAX(0,'Start Here'!$B$10-SUM($AJ71:$AS71)-SUMPRODUCT(($Z$3:$AI$3&lt;AC$3)*($Z71:$AI71-$AJ71:$AS71))))</f>
        <v>0</v>
      </c>
      <c r="J71" s="42" t="n">
        <f aca="false">AN71+MIN(AD71-AN71,MAX(0,'Start Here'!$B$10-SUM($AJ71:$AS71)-SUMPRODUCT(($Z$3:$AI$3&lt;AD$3)*($Z71:$AI71-$AJ71:$AS71))))</f>
        <v>0</v>
      </c>
      <c r="K71" s="42" t="n">
        <f aca="false">AO71+MIN(AE71-AO71,MAX(0,'Start Here'!$B$10-SUM($AJ71:$AS71)-SUMPRODUCT(($Z$3:$AI$3&lt;AE$3)*($Z71:$AI71-$AJ71:$AS71))))</f>
        <v>0</v>
      </c>
      <c r="L71" s="42" t="n">
        <f aca="false">AP71+MIN(AF71-AP71,MAX(0,'Start Here'!$B$10-SUM($AJ71:$AS71)-SUMPRODUCT(($Z$3:$AI$3&lt;AF$3)*($Z71:$AI71-$AJ71:$AS71))))</f>
        <v>0</v>
      </c>
      <c r="M71" s="42" t="n">
        <f aca="false">AQ71+MIN(AG71-AQ71,MAX(0,'Start Here'!$B$10-SUM($AJ71:$AS71)-SUMPRODUCT(($Z$3:$AI$3&lt;AG$3)*($Z71:$AI71-$AJ71:$AS71))))</f>
        <v>0</v>
      </c>
      <c r="N71" s="42" t="n">
        <f aca="false">AR71+MIN(AH71-AR71,MAX(0,'Start Here'!$B$10-SUM($AJ71:$AS71)-SUMPRODUCT(($Z$3:$AI$3&lt;AH$3)*($Z71:$AI71-$AJ71:$AS71))))</f>
        <v>0</v>
      </c>
      <c r="O71" s="42" t="n">
        <f aca="false">AS71+MIN(AI71-AS71,MAX(0,'Start Here'!$B$10-SUM($AJ71:$AS71)-SUMPRODUCT(($Z$3:$AI$3&lt;AI$3)*($Z71:$AI71-$AJ71:$AS71))))</f>
        <v>0</v>
      </c>
      <c r="P71" s="42" t="n">
        <f aca="false">ROUND(Z71-F71,2)</f>
        <v>0</v>
      </c>
      <c r="Q71" s="42" t="n">
        <f aca="false">ROUND(AA71-G71,2)</f>
        <v>0</v>
      </c>
      <c r="R71" s="42" t="n">
        <f aca="false">ROUND(AB71-H71,2)</f>
        <v>0</v>
      </c>
      <c r="S71" s="42" t="n">
        <f aca="false">ROUND(AC71-I71,2)</f>
        <v>0</v>
      </c>
      <c r="T71" s="42" t="n">
        <f aca="false">ROUND(AD71-J71,2)</f>
        <v>0</v>
      </c>
      <c r="U71" s="42" t="n">
        <f aca="false">ROUND(AE71-K71,2)</f>
        <v>0</v>
      </c>
      <c r="V71" s="42" t="n">
        <f aca="false">ROUND(AF71-L71,2)</f>
        <v>0</v>
      </c>
      <c r="W71" s="42" t="n">
        <f aca="false">ROUND(AG71-M71,2)</f>
        <v>0</v>
      </c>
      <c r="X71" s="42" t="n">
        <f aca="false">ROUND(AH71-N71,2)</f>
        <v>0</v>
      </c>
      <c r="Y71" s="42" t="n">
        <f aca="false">ROUND(AI71-O71,2)</f>
        <v>0</v>
      </c>
      <c r="Z71" s="56" t="n">
        <f aca="false">ROUND(P70*(1+N(Debts!$D$5)/12),2)</f>
        <v>0</v>
      </c>
      <c r="AA71" s="56" t="n">
        <f aca="false">ROUND(Q70*(1+N(Debts!$D$6)/12),2)</f>
        <v>0</v>
      </c>
      <c r="AB71" s="56" t="n">
        <f aca="false">ROUND(R70*(1+N(Debts!$D$7)/12),2)</f>
        <v>0</v>
      </c>
      <c r="AC71" s="56" t="n">
        <f aca="false">ROUND(S70*(1+N(Debts!$D$8)/12),2)</f>
        <v>0</v>
      </c>
      <c r="AD71" s="56" t="n">
        <f aca="false">ROUND(T70*(1+N(Debts!$D$9)/12),2)</f>
        <v>0</v>
      </c>
      <c r="AE71" s="56" t="n">
        <f aca="false">ROUND(U70*(1+N(Debts!$D$10)/12),2)</f>
        <v>0</v>
      </c>
      <c r="AF71" s="56" t="n">
        <f aca="false">ROUND(V70*(1+N(Debts!$D$11)/12),2)</f>
        <v>0</v>
      </c>
      <c r="AG71" s="56" t="n">
        <f aca="false">ROUND(W70*(1+N(Debts!$D$12)/12),2)</f>
        <v>0</v>
      </c>
      <c r="AH71" s="56" t="n">
        <f aca="false">ROUND(X70*(1+N(Debts!$D$13)/12),2)</f>
        <v>0</v>
      </c>
      <c r="AI71" s="56" t="n">
        <f aca="false">ROUND(Y70*(1+N(Debts!$D$14)/12),2)</f>
        <v>0</v>
      </c>
      <c r="AJ71" s="56" t="n">
        <f aca="false">MIN(Z71,MAX(0,N(Debts!$E$5)))</f>
        <v>0</v>
      </c>
      <c r="AK71" s="56" t="n">
        <f aca="false">MIN(AA71,MAX(0,N(Debts!$E$6)))</f>
        <v>0</v>
      </c>
      <c r="AL71" s="56" t="n">
        <f aca="false">MIN(AB71,MAX(0,N(Debts!$E$7)))</f>
        <v>0</v>
      </c>
      <c r="AM71" s="56" t="n">
        <f aca="false">MIN(AC71,MAX(0,N(Debts!$E$8)))</f>
        <v>0</v>
      </c>
      <c r="AN71" s="56" t="n">
        <f aca="false">MIN(AD71,MAX(0,N(Debts!$E$9)))</f>
        <v>0</v>
      </c>
      <c r="AO71" s="56" t="n">
        <f aca="false">MIN(AE71,MAX(0,N(Debts!$E$10)))</f>
        <v>0</v>
      </c>
      <c r="AP71" s="56" t="n">
        <f aca="false">MIN(AF71,MAX(0,N(Debts!$E$11)))</f>
        <v>0</v>
      </c>
      <c r="AQ71" s="56" t="n">
        <f aca="false">MIN(AG71,MAX(0,N(Debts!$E$12)))</f>
        <v>0</v>
      </c>
      <c r="AR71" s="56" t="n">
        <f aca="false">MIN(AH71,MAX(0,N(Debts!$E$13)))</f>
        <v>0</v>
      </c>
      <c r="AS71" s="56" t="n">
        <f aca="false">MIN(AI71,MAX(0,N(Debts!$E$14)))</f>
        <v>0</v>
      </c>
    </row>
    <row r="72" customFormat="false" ht="15" hidden="false" customHeight="false" outlineLevel="0" collapsed="false">
      <c r="A72" s="53" t="n">
        <v>68</v>
      </c>
      <c r="B72" s="54" t="n">
        <f aca="false">EDATE('Start Here'!$B$8,67)</f>
        <v>48366</v>
      </c>
      <c r="C72" s="42" t="n">
        <f aca="false">SUM(F72:O72)</f>
        <v>0</v>
      </c>
      <c r="D72" s="42" t="n">
        <f aca="false">ROUND(SUM($Z72:$AI72)-SUM(P71:Y71),2)</f>
        <v>0</v>
      </c>
      <c r="E72" s="55" t="n">
        <f aca="false">SUM(P72:Y72)</f>
        <v>0</v>
      </c>
      <c r="F72" s="42" t="n">
        <f aca="false">AJ72+MIN(Z72-AJ72,MAX(0,'Start Here'!$B$10-SUM($AJ72:$AS72)-SUMPRODUCT(($Z$3:$AI$3&lt;Z$3)*($Z72:$AI72-$AJ72:$AS72))))</f>
        <v>0</v>
      </c>
      <c r="G72" s="42" t="n">
        <f aca="false">AK72+MIN(AA72-AK72,MAX(0,'Start Here'!$B$10-SUM($AJ72:$AS72)-SUMPRODUCT(($Z$3:$AI$3&lt;AA$3)*($Z72:$AI72-$AJ72:$AS72))))</f>
        <v>0</v>
      </c>
      <c r="H72" s="42" t="n">
        <f aca="false">AL72+MIN(AB72-AL72,MAX(0,'Start Here'!$B$10-SUM($AJ72:$AS72)-SUMPRODUCT(($Z$3:$AI$3&lt;AB$3)*($Z72:$AI72-$AJ72:$AS72))))</f>
        <v>0</v>
      </c>
      <c r="I72" s="42" t="n">
        <f aca="false">AM72+MIN(AC72-AM72,MAX(0,'Start Here'!$B$10-SUM($AJ72:$AS72)-SUMPRODUCT(($Z$3:$AI$3&lt;AC$3)*($Z72:$AI72-$AJ72:$AS72))))</f>
        <v>0</v>
      </c>
      <c r="J72" s="42" t="n">
        <f aca="false">AN72+MIN(AD72-AN72,MAX(0,'Start Here'!$B$10-SUM($AJ72:$AS72)-SUMPRODUCT(($Z$3:$AI$3&lt;AD$3)*($Z72:$AI72-$AJ72:$AS72))))</f>
        <v>0</v>
      </c>
      <c r="K72" s="42" t="n">
        <f aca="false">AO72+MIN(AE72-AO72,MAX(0,'Start Here'!$B$10-SUM($AJ72:$AS72)-SUMPRODUCT(($Z$3:$AI$3&lt;AE$3)*($Z72:$AI72-$AJ72:$AS72))))</f>
        <v>0</v>
      </c>
      <c r="L72" s="42" t="n">
        <f aca="false">AP72+MIN(AF72-AP72,MAX(0,'Start Here'!$B$10-SUM($AJ72:$AS72)-SUMPRODUCT(($Z$3:$AI$3&lt;AF$3)*($Z72:$AI72-$AJ72:$AS72))))</f>
        <v>0</v>
      </c>
      <c r="M72" s="42" t="n">
        <f aca="false">AQ72+MIN(AG72-AQ72,MAX(0,'Start Here'!$B$10-SUM($AJ72:$AS72)-SUMPRODUCT(($Z$3:$AI$3&lt;AG$3)*($Z72:$AI72-$AJ72:$AS72))))</f>
        <v>0</v>
      </c>
      <c r="N72" s="42" t="n">
        <f aca="false">AR72+MIN(AH72-AR72,MAX(0,'Start Here'!$B$10-SUM($AJ72:$AS72)-SUMPRODUCT(($Z$3:$AI$3&lt;AH$3)*($Z72:$AI72-$AJ72:$AS72))))</f>
        <v>0</v>
      </c>
      <c r="O72" s="42" t="n">
        <f aca="false">AS72+MIN(AI72-AS72,MAX(0,'Start Here'!$B$10-SUM($AJ72:$AS72)-SUMPRODUCT(($Z$3:$AI$3&lt;AI$3)*($Z72:$AI72-$AJ72:$AS72))))</f>
        <v>0</v>
      </c>
      <c r="P72" s="42" t="n">
        <f aca="false">ROUND(Z72-F72,2)</f>
        <v>0</v>
      </c>
      <c r="Q72" s="42" t="n">
        <f aca="false">ROUND(AA72-G72,2)</f>
        <v>0</v>
      </c>
      <c r="R72" s="42" t="n">
        <f aca="false">ROUND(AB72-H72,2)</f>
        <v>0</v>
      </c>
      <c r="S72" s="42" t="n">
        <f aca="false">ROUND(AC72-I72,2)</f>
        <v>0</v>
      </c>
      <c r="T72" s="42" t="n">
        <f aca="false">ROUND(AD72-J72,2)</f>
        <v>0</v>
      </c>
      <c r="U72" s="42" t="n">
        <f aca="false">ROUND(AE72-K72,2)</f>
        <v>0</v>
      </c>
      <c r="V72" s="42" t="n">
        <f aca="false">ROUND(AF72-L72,2)</f>
        <v>0</v>
      </c>
      <c r="W72" s="42" t="n">
        <f aca="false">ROUND(AG72-M72,2)</f>
        <v>0</v>
      </c>
      <c r="X72" s="42" t="n">
        <f aca="false">ROUND(AH72-N72,2)</f>
        <v>0</v>
      </c>
      <c r="Y72" s="42" t="n">
        <f aca="false">ROUND(AI72-O72,2)</f>
        <v>0</v>
      </c>
      <c r="Z72" s="56" t="n">
        <f aca="false">ROUND(P71*(1+N(Debts!$D$5)/12),2)</f>
        <v>0</v>
      </c>
      <c r="AA72" s="56" t="n">
        <f aca="false">ROUND(Q71*(1+N(Debts!$D$6)/12),2)</f>
        <v>0</v>
      </c>
      <c r="AB72" s="56" t="n">
        <f aca="false">ROUND(R71*(1+N(Debts!$D$7)/12),2)</f>
        <v>0</v>
      </c>
      <c r="AC72" s="56" t="n">
        <f aca="false">ROUND(S71*(1+N(Debts!$D$8)/12),2)</f>
        <v>0</v>
      </c>
      <c r="AD72" s="56" t="n">
        <f aca="false">ROUND(T71*(1+N(Debts!$D$9)/12),2)</f>
        <v>0</v>
      </c>
      <c r="AE72" s="56" t="n">
        <f aca="false">ROUND(U71*(1+N(Debts!$D$10)/12),2)</f>
        <v>0</v>
      </c>
      <c r="AF72" s="56" t="n">
        <f aca="false">ROUND(V71*(1+N(Debts!$D$11)/12),2)</f>
        <v>0</v>
      </c>
      <c r="AG72" s="56" t="n">
        <f aca="false">ROUND(W71*(1+N(Debts!$D$12)/12),2)</f>
        <v>0</v>
      </c>
      <c r="AH72" s="56" t="n">
        <f aca="false">ROUND(X71*(1+N(Debts!$D$13)/12),2)</f>
        <v>0</v>
      </c>
      <c r="AI72" s="56" t="n">
        <f aca="false">ROUND(Y71*(1+N(Debts!$D$14)/12),2)</f>
        <v>0</v>
      </c>
      <c r="AJ72" s="56" t="n">
        <f aca="false">MIN(Z72,MAX(0,N(Debts!$E$5)))</f>
        <v>0</v>
      </c>
      <c r="AK72" s="56" t="n">
        <f aca="false">MIN(AA72,MAX(0,N(Debts!$E$6)))</f>
        <v>0</v>
      </c>
      <c r="AL72" s="56" t="n">
        <f aca="false">MIN(AB72,MAX(0,N(Debts!$E$7)))</f>
        <v>0</v>
      </c>
      <c r="AM72" s="56" t="n">
        <f aca="false">MIN(AC72,MAX(0,N(Debts!$E$8)))</f>
        <v>0</v>
      </c>
      <c r="AN72" s="56" t="n">
        <f aca="false">MIN(AD72,MAX(0,N(Debts!$E$9)))</f>
        <v>0</v>
      </c>
      <c r="AO72" s="56" t="n">
        <f aca="false">MIN(AE72,MAX(0,N(Debts!$E$10)))</f>
        <v>0</v>
      </c>
      <c r="AP72" s="56" t="n">
        <f aca="false">MIN(AF72,MAX(0,N(Debts!$E$11)))</f>
        <v>0</v>
      </c>
      <c r="AQ72" s="56" t="n">
        <f aca="false">MIN(AG72,MAX(0,N(Debts!$E$12)))</f>
        <v>0</v>
      </c>
      <c r="AR72" s="56" t="n">
        <f aca="false">MIN(AH72,MAX(0,N(Debts!$E$13)))</f>
        <v>0</v>
      </c>
      <c r="AS72" s="56" t="n">
        <f aca="false">MIN(AI72,MAX(0,N(Debts!$E$14)))</f>
        <v>0</v>
      </c>
    </row>
    <row r="73" customFormat="false" ht="15" hidden="false" customHeight="false" outlineLevel="0" collapsed="false">
      <c r="A73" s="53" t="n">
        <v>69</v>
      </c>
      <c r="B73" s="54" t="n">
        <f aca="false">EDATE('Start Here'!$B$8,68)</f>
        <v>48396</v>
      </c>
      <c r="C73" s="42" t="n">
        <f aca="false">SUM(F73:O73)</f>
        <v>0</v>
      </c>
      <c r="D73" s="42" t="n">
        <f aca="false">ROUND(SUM($Z73:$AI73)-SUM(P72:Y72),2)</f>
        <v>0</v>
      </c>
      <c r="E73" s="55" t="n">
        <f aca="false">SUM(P73:Y73)</f>
        <v>0</v>
      </c>
      <c r="F73" s="42" t="n">
        <f aca="false">AJ73+MIN(Z73-AJ73,MAX(0,'Start Here'!$B$10-SUM($AJ73:$AS73)-SUMPRODUCT(($Z$3:$AI$3&lt;Z$3)*($Z73:$AI73-$AJ73:$AS73))))</f>
        <v>0</v>
      </c>
      <c r="G73" s="42" t="n">
        <f aca="false">AK73+MIN(AA73-AK73,MAX(0,'Start Here'!$B$10-SUM($AJ73:$AS73)-SUMPRODUCT(($Z$3:$AI$3&lt;AA$3)*($Z73:$AI73-$AJ73:$AS73))))</f>
        <v>0</v>
      </c>
      <c r="H73" s="42" t="n">
        <f aca="false">AL73+MIN(AB73-AL73,MAX(0,'Start Here'!$B$10-SUM($AJ73:$AS73)-SUMPRODUCT(($Z$3:$AI$3&lt;AB$3)*($Z73:$AI73-$AJ73:$AS73))))</f>
        <v>0</v>
      </c>
      <c r="I73" s="42" t="n">
        <f aca="false">AM73+MIN(AC73-AM73,MAX(0,'Start Here'!$B$10-SUM($AJ73:$AS73)-SUMPRODUCT(($Z$3:$AI$3&lt;AC$3)*($Z73:$AI73-$AJ73:$AS73))))</f>
        <v>0</v>
      </c>
      <c r="J73" s="42" t="n">
        <f aca="false">AN73+MIN(AD73-AN73,MAX(0,'Start Here'!$B$10-SUM($AJ73:$AS73)-SUMPRODUCT(($Z$3:$AI$3&lt;AD$3)*($Z73:$AI73-$AJ73:$AS73))))</f>
        <v>0</v>
      </c>
      <c r="K73" s="42" t="n">
        <f aca="false">AO73+MIN(AE73-AO73,MAX(0,'Start Here'!$B$10-SUM($AJ73:$AS73)-SUMPRODUCT(($Z$3:$AI$3&lt;AE$3)*($Z73:$AI73-$AJ73:$AS73))))</f>
        <v>0</v>
      </c>
      <c r="L73" s="42" t="n">
        <f aca="false">AP73+MIN(AF73-AP73,MAX(0,'Start Here'!$B$10-SUM($AJ73:$AS73)-SUMPRODUCT(($Z$3:$AI$3&lt;AF$3)*($Z73:$AI73-$AJ73:$AS73))))</f>
        <v>0</v>
      </c>
      <c r="M73" s="42" t="n">
        <f aca="false">AQ73+MIN(AG73-AQ73,MAX(0,'Start Here'!$B$10-SUM($AJ73:$AS73)-SUMPRODUCT(($Z$3:$AI$3&lt;AG$3)*($Z73:$AI73-$AJ73:$AS73))))</f>
        <v>0</v>
      </c>
      <c r="N73" s="42" t="n">
        <f aca="false">AR73+MIN(AH73-AR73,MAX(0,'Start Here'!$B$10-SUM($AJ73:$AS73)-SUMPRODUCT(($Z$3:$AI$3&lt;AH$3)*($Z73:$AI73-$AJ73:$AS73))))</f>
        <v>0</v>
      </c>
      <c r="O73" s="42" t="n">
        <f aca="false">AS73+MIN(AI73-AS73,MAX(0,'Start Here'!$B$10-SUM($AJ73:$AS73)-SUMPRODUCT(($Z$3:$AI$3&lt;AI$3)*($Z73:$AI73-$AJ73:$AS73))))</f>
        <v>0</v>
      </c>
      <c r="P73" s="42" t="n">
        <f aca="false">ROUND(Z73-F73,2)</f>
        <v>0</v>
      </c>
      <c r="Q73" s="42" t="n">
        <f aca="false">ROUND(AA73-G73,2)</f>
        <v>0</v>
      </c>
      <c r="R73" s="42" t="n">
        <f aca="false">ROUND(AB73-H73,2)</f>
        <v>0</v>
      </c>
      <c r="S73" s="42" t="n">
        <f aca="false">ROUND(AC73-I73,2)</f>
        <v>0</v>
      </c>
      <c r="T73" s="42" t="n">
        <f aca="false">ROUND(AD73-J73,2)</f>
        <v>0</v>
      </c>
      <c r="U73" s="42" t="n">
        <f aca="false">ROUND(AE73-K73,2)</f>
        <v>0</v>
      </c>
      <c r="V73" s="42" t="n">
        <f aca="false">ROUND(AF73-L73,2)</f>
        <v>0</v>
      </c>
      <c r="W73" s="42" t="n">
        <f aca="false">ROUND(AG73-M73,2)</f>
        <v>0</v>
      </c>
      <c r="X73" s="42" t="n">
        <f aca="false">ROUND(AH73-N73,2)</f>
        <v>0</v>
      </c>
      <c r="Y73" s="42" t="n">
        <f aca="false">ROUND(AI73-O73,2)</f>
        <v>0</v>
      </c>
      <c r="Z73" s="56" t="n">
        <f aca="false">ROUND(P72*(1+N(Debts!$D$5)/12),2)</f>
        <v>0</v>
      </c>
      <c r="AA73" s="56" t="n">
        <f aca="false">ROUND(Q72*(1+N(Debts!$D$6)/12),2)</f>
        <v>0</v>
      </c>
      <c r="AB73" s="56" t="n">
        <f aca="false">ROUND(R72*(1+N(Debts!$D$7)/12),2)</f>
        <v>0</v>
      </c>
      <c r="AC73" s="56" t="n">
        <f aca="false">ROUND(S72*(1+N(Debts!$D$8)/12),2)</f>
        <v>0</v>
      </c>
      <c r="AD73" s="56" t="n">
        <f aca="false">ROUND(T72*(1+N(Debts!$D$9)/12),2)</f>
        <v>0</v>
      </c>
      <c r="AE73" s="56" t="n">
        <f aca="false">ROUND(U72*(1+N(Debts!$D$10)/12),2)</f>
        <v>0</v>
      </c>
      <c r="AF73" s="56" t="n">
        <f aca="false">ROUND(V72*(1+N(Debts!$D$11)/12),2)</f>
        <v>0</v>
      </c>
      <c r="AG73" s="56" t="n">
        <f aca="false">ROUND(W72*(1+N(Debts!$D$12)/12),2)</f>
        <v>0</v>
      </c>
      <c r="AH73" s="56" t="n">
        <f aca="false">ROUND(X72*(1+N(Debts!$D$13)/12),2)</f>
        <v>0</v>
      </c>
      <c r="AI73" s="56" t="n">
        <f aca="false">ROUND(Y72*(1+N(Debts!$D$14)/12),2)</f>
        <v>0</v>
      </c>
      <c r="AJ73" s="56" t="n">
        <f aca="false">MIN(Z73,MAX(0,N(Debts!$E$5)))</f>
        <v>0</v>
      </c>
      <c r="AK73" s="56" t="n">
        <f aca="false">MIN(AA73,MAX(0,N(Debts!$E$6)))</f>
        <v>0</v>
      </c>
      <c r="AL73" s="56" t="n">
        <f aca="false">MIN(AB73,MAX(0,N(Debts!$E$7)))</f>
        <v>0</v>
      </c>
      <c r="AM73" s="56" t="n">
        <f aca="false">MIN(AC73,MAX(0,N(Debts!$E$8)))</f>
        <v>0</v>
      </c>
      <c r="AN73" s="56" t="n">
        <f aca="false">MIN(AD73,MAX(0,N(Debts!$E$9)))</f>
        <v>0</v>
      </c>
      <c r="AO73" s="56" t="n">
        <f aca="false">MIN(AE73,MAX(0,N(Debts!$E$10)))</f>
        <v>0</v>
      </c>
      <c r="AP73" s="56" t="n">
        <f aca="false">MIN(AF73,MAX(0,N(Debts!$E$11)))</f>
        <v>0</v>
      </c>
      <c r="AQ73" s="56" t="n">
        <f aca="false">MIN(AG73,MAX(0,N(Debts!$E$12)))</f>
        <v>0</v>
      </c>
      <c r="AR73" s="56" t="n">
        <f aca="false">MIN(AH73,MAX(0,N(Debts!$E$13)))</f>
        <v>0</v>
      </c>
      <c r="AS73" s="56" t="n">
        <f aca="false">MIN(AI73,MAX(0,N(Debts!$E$14)))</f>
        <v>0</v>
      </c>
    </row>
    <row r="74" customFormat="false" ht="15" hidden="false" customHeight="false" outlineLevel="0" collapsed="false">
      <c r="A74" s="53" t="n">
        <v>70</v>
      </c>
      <c r="B74" s="54" t="n">
        <f aca="false">EDATE('Start Here'!$B$8,69)</f>
        <v>48427</v>
      </c>
      <c r="C74" s="42" t="n">
        <f aca="false">SUM(F74:O74)</f>
        <v>0</v>
      </c>
      <c r="D74" s="42" t="n">
        <f aca="false">ROUND(SUM($Z74:$AI74)-SUM(P73:Y73),2)</f>
        <v>0</v>
      </c>
      <c r="E74" s="55" t="n">
        <f aca="false">SUM(P74:Y74)</f>
        <v>0</v>
      </c>
      <c r="F74" s="42" t="n">
        <f aca="false">AJ74+MIN(Z74-AJ74,MAX(0,'Start Here'!$B$10-SUM($AJ74:$AS74)-SUMPRODUCT(($Z$3:$AI$3&lt;Z$3)*($Z74:$AI74-$AJ74:$AS74))))</f>
        <v>0</v>
      </c>
      <c r="G74" s="42" t="n">
        <f aca="false">AK74+MIN(AA74-AK74,MAX(0,'Start Here'!$B$10-SUM($AJ74:$AS74)-SUMPRODUCT(($Z$3:$AI$3&lt;AA$3)*($Z74:$AI74-$AJ74:$AS74))))</f>
        <v>0</v>
      </c>
      <c r="H74" s="42" t="n">
        <f aca="false">AL74+MIN(AB74-AL74,MAX(0,'Start Here'!$B$10-SUM($AJ74:$AS74)-SUMPRODUCT(($Z$3:$AI$3&lt;AB$3)*($Z74:$AI74-$AJ74:$AS74))))</f>
        <v>0</v>
      </c>
      <c r="I74" s="42" t="n">
        <f aca="false">AM74+MIN(AC74-AM74,MAX(0,'Start Here'!$B$10-SUM($AJ74:$AS74)-SUMPRODUCT(($Z$3:$AI$3&lt;AC$3)*($Z74:$AI74-$AJ74:$AS74))))</f>
        <v>0</v>
      </c>
      <c r="J74" s="42" t="n">
        <f aca="false">AN74+MIN(AD74-AN74,MAX(0,'Start Here'!$B$10-SUM($AJ74:$AS74)-SUMPRODUCT(($Z$3:$AI$3&lt;AD$3)*($Z74:$AI74-$AJ74:$AS74))))</f>
        <v>0</v>
      </c>
      <c r="K74" s="42" t="n">
        <f aca="false">AO74+MIN(AE74-AO74,MAX(0,'Start Here'!$B$10-SUM($AJ74:$AS74)-SUMPRODUCT(($Z$3:$AI$3&lt;AE$3)*($Z74:$AI74-$AJ74:$AS74))))</f>
        <v>0</v>
      </c>
      <c r="L74" s="42" t="n">
        <f aca="false">AP74+MIN(AF74-AP74,MAX(0,'Start Here'!$B$10-SUM($AJ74:$AS74)-SUMPRODUCT(($Z$3:$AI$3&lt;AF$3)*($Z74:$AI74-$AJ74:$AS74))))</f>
        <v>0</v>
      </c>
      <c r="M74" s="42" t="n">
        <f aca="false">AQ74+MIN(AG74-AQ74,MAX(0,'Start Here'!$B$10-SUM($AJ74:$AS74)-SUMPRODUCT(($Z$3:$AI$3&lt;AG$3)*($Z74:$AI74-$AJ74:$AS74))))</f>
        <v>0</v>
      </c>
      <c r="N74" s="42" t="n">
        <f aca="false">AR74+MIN(AH74-AR74,MAX(0,'Start Here'!$B$10-SUM($AJ74:$AS74)-SUMPRODUCT(($Z$3:$AI$3&lt;AH$3)*($Z74:$AI74-$AJ74:$AS74))))</f>
        <v>0</v>
      </c>
      <c r="O74" s="42" t="n">
        <f aca="false">AS74+MIN(AI74-AS74,MAX(0,'Start Here'!$B$10-SUM($AJ74:$AS74)-SUMPRODUCT(($Z$3:$AI$3&lt;AI$3)*($Z74:$AI74-$AJ74:$AS74))))</f>
        <v>0</v>
      </c>
      <c r="P74" s="42" t="n">
        <f aca="false">ROUND(Z74-F74,2)</f>
        <v>0</v>
      </c>
      <c r="Q74" s="42" t="n">
        <f aca="false">ROUND(AA74-G74,2)</f>
        <v>0</v>
      </c>
      <c r="R74" s="42" t="n">
        <f aca="false">ROUND(AB74-H74,2)</f>
        <v>0</v>
      </c>
      <c r="S74" s="42" t="n">
        <f aca="false">ROUND(AC74-I74,2)</f>
        <v>0</v>
      </c>
      <c r="T74" s="42" t="n">
        <f aca="false">ROUND(AD74-J74,2)</f>
        <v>0</v>
      </c>
      <c r="U74" s="42" t="n">
        <f aca="false">ROUND(AE74-K74,2)</f>
        <v>0</v>
      </c>
      <c r="V74" s="42" t="n">
        <f aca="false">ROUND(AF74-L74,2)</f>
        <v>0</v>
      </c>
      <c r="W74" s="42" t="n">
        <f aca="false">ROUND(AG74-M74,2)</f>
        <v>0</v>
      </c>
      <c r="X74" s="42" t="n">
        <f aca="false">ROUND(AH74-N74,2)</f>
        <v>0</v>
      </c>
      <c r="Y74" s="42" t="n">
        <f aca="false">ROUND(AI74-O74,2)</f>
        <v>0</v>
      </c>
      <c r="Z74" s="56" t="n">
        <f aca="false">ROUND(P73*(1+N(Debts!$D$5)/12),2)</f>
        <v>0</v>
      </c>
      <c r="AA74" s="56" t="n">
        <f aca="false">ROUND(Q73*(1+N(Debts!$D$6)/12),2)</f>
        <v>0</v>
      </c>
      <c r="AB74" s="56" t="n">
        <f aca="false">ROUND(R73*(1+N(Debts!$D$7)/12),2)</f>
        <v>0</v>
      </c>
      <c r="AC74" s="56" t="n">
        <f aca="false">ROUND(S73*(1+N(Debts!$D$8)/12),2)</f>
        <v>0</v>
      </c>
      <c r="AD74" s="56" t="n">
        <f aca="false">ROUND(T73*(1+N(Debts!$D$9)/12),2)</f>
        <v>0</v>
      </c>
      <c r="AE74" s="56" t="n">
        <f aca="false">ROUND(U73*(1+N(Debts!$D$10)/12),2)</f>
        <v>0</v>
      </c>
      <c r="AF74" s="56" t="n">
        <f aca="false">ROUND(V73*(1+N(Debts!$D$11)/12),2)</f>
        <v>0</v>
      </c>
      <c r="AG74" s="56" t="n">
        <f aca="false">ROUND(W73*(1+N(Debts!$D$12)/12),2)</f>
        <v>0</v>
      </c>
      <c r="AH74" s="56" t="n">
        <f aca="false">ROUND(X73*(1+N(Debts!$D$13)/12),2)</f>
        <v>0</v>
      </c>
      <c r="AI74" s="56" t="n">
        <f aca="false">ROUND(Y73*(1+N(Debts!$D$14)/12),2)</f>
        <v>0</v>
      </c>
      <c r="AJ74" s="56" t="n">
        <f aca="false">MIN(Z74,MAX(0,N(Debts!$E$5)))</f>
        <v>0</v>
      </c>
      <c r="AK74" s="56" t="n">
        <f aca="false">MIN(AA74,MAX(0,N(Debts!$E$6)))</f>
        <v>0</v>
      </c>
      <c r="AL74" s="56" t="n">
        <f aca="false">MIN(AB74,MAX(0,N(Debts!$E$7)))</f>
        <v>0</v>
      </c>
      <c r="AM74" s="56" t="n">
        <f aca="false">MIN(AC74,MAX(0,N(Debts!$E$8)))</f>
        <v>0</v>
      </c>
      <c r="AN74" s="56" t="n">
        <f aca="false">MIN(AD74,MAX(0,N(Debts!$E$9)))</f>
        <v>0</v>
      </c>
      <c r="AO74" s="56" t="n">
        <f aca="false">MIN(AE74,MAX(0,N(Debts!$E$10)))</f>
        <v>0</v>
      </c>
      <c r="AP74" s="56" t="n">
        <f aca="false">MIN(AF74,MAX(0,N(Debts!$E$11)))</f>
        <v>0</v>
      </c>
      <c r="AQ74" s="56" t="n">
        <f aca="false">MIN(AG74,MAX(0,N(Debts!$E$12)))</f>
        <v>0</v>
      </c>
      <c r="AR74" s="56" t="n">
        <f aca="false">MIN(AH74,MAX(0,N(Debts!$E$13)))</f>
        <v>0</v>
      </c>
      <c r="AS74" s="56" t="n">
        <f aca="false">MIN(AI74,MAX(0,N(Debts!$E$14)))</f>
        <v>0</v>
      </c>
    </row>
    <row r="75" customFormat="false" ht="15" hidden="false" customHeight="false" outlineLevel="0" collapsed="false">
      <c r="A75" s="53" t="n">
        <v>71</v>
      </c>
      <c r="B75" s="54" t="n">
        <f aca="false">EDATE('Start Here'!$B$8,70)</f>
        <v>48458</v>
      </c>
      <c r="C75" s="42" t="n">
        <f aca="false">SUM(F75:O75)</f>
        <v>0</v>
      </c>
      <c r="D75" s="42" t="n">
        <f aca="false">ROUND(SUM($Z75:$AI75)-SUM(P74:Y74),2)</f>
        <v>0</v>
      </c>
      <c r="E75" s="55" t="n">
        <f aca="false">SUM(P75:Y75)</f>
        <v>0</v>
      </c>
      <c r="F75" s="42" t="n">
        <f aca="false">AJ75+MIN(Z75-AJ75,MAX(0,'Start Here'!$B$10-SUM($AJ75:$AS75)-SUMPRODUCT(($Z$3:$AI$3&lt;Z$3)*($Z75:$AI75-$AJ75:$AS75))))</f>
        <v>0</v>
      </c>
      <c r="G75" s="42" t="n">
        <f aca="false">AK75+MIN(AA75-AK75,MAX(0,'Start Here'!$B$10-SUM($AJ75:$AS75)-SUMPRODUCT(($Z$3:$AI$3&lt;AA$3)*($Z75:$AI75-$AJ75:$AS75))))</f>
        <v>0</v>
      </c>
      <c r="H75" s="42" t="n">
        <f aca="false">AL75+MIN(AB75-AL75,MAX(0,'Start Here'!$B$10-SUM($AJ75:$AS75)-SUMPRODUCT(($Z$3:$AI$3&lt;AB$3)*($Z75:$AI75-$AJ75:$AS75))))</f>
        <v>0</v>
      </c>
      <c r="I75" s="42" t="n">
        <f aca="false">AM75+MIN(AC75-AM75,MAX(0,'Start Here'!$B$10-SUM($AJ75:$AS75)-SUMPRODUCT(($Z$3:$AI$3&lt;AC$3)*($Z75:$AI75-$AJ75:$AS75))))</f>
        <v>0</v>
      </c>
      <c r="J75" s="42" t="n">
        <f aca="false">AN75+MIN(AD75-AN75,MAX(0,'Start Here'!$B$10-SUM($AJ75:$AS75)-SUMPRODUCT(($Z$3:$AI$3&lt;AD$3)*($Z75:$AI75-$AJ75:$AS75))))</f>
        <v>0</v>
      </c>
      <c r="K75" s="42" t="n">
        <f aca="false">AO75+MIN(AE75-AO75,MAX(0,'Start Here'!$B$10-SUM($AJ75:$AS75)-SUMPRODUCT(($Z$3:$AI$3&lt;AE$3)*($Z75:$AI75-$AJ75:$AS75))))</f>
        <v>0</v>
      </c>
      <c r="L75" s="42" t="n">
        <f aca="false">AP75+MIN(AF75-AP75,MAX(0,'Start Here'!$B$10-SUM($AJ75:$AS75)-SUMPRODUCT(($Z$3:$AI$3&lt;AF$3)*($Z75:$AI75-$AJ75:$AS75))))</f>
        <v>0</v>
      </c>
      <c r="M75" s="42" t="n">
        <f aca="false">AQ75+MIN(AG75-AQ75,MAX(0,'Start Here'!$B$10-SUM($AJ75:$AS75)-SUMPRODUCT(($Z$3:$AI$3&lt;AG$3)*($Z75:$AI75-$AJ75:$AS75))))</f>
        <v>0</v>
      </c>
      <c r="N75" s="42" t="n">
        <f aca="false">AR75+MIN(AH75-AR75,MAX(0,'Start Here'!$B$10-SUM($AJ75:$AS75)-SUMPRODUCT(($Z$3:$AI$3&lt;AH$3)*($Z75:$AI75-$AJ75:$AS75))))</f>
        <v>0</v>
      </c>
      <c r="O75" s="42" t="n">
        <f aca="false">AS75+MIN(AI75-AS75,MAX(0,'Start Here'!$B$10-SUM($AJ75:$AS75)-SUMPRODUCT(($Z$3:$AI$3&lt;AI$3)*($Z75:$AI75-$AJ75:$AS75))))</f>
        <v>0</v>
      </c>
      <c r="P75" s="42" t="n">
        <f aca="false">ROUND(Z75-F75,2)</f>
        <v>0</v>
      </c>
      <c r="Q75" s="42" t="n">
        <f aca="false">ROUND(AA75-G75,2)</f>
        <v>0</v>
      </c>
      <c r="R75" s="42" t="n">
        <f aca="false">ROUND(AB75-H75,2)</f>
        <v>0</v>
      </c>
      <c r="S75" s="42" t="n">
        <f aca="false">ROUND(AC75-I75,2)</f>
        <v>0</v>
      </c>
      <c r="T75" s="42" t="n">
        <f aca="false">ROUND(AD75-J75,2)</f>
        <v>0</v>
      </c>
      <c r="U75" s="42" t="n">
        <f aca="false">ROUND(AE75-K75,2)</f>
        <v>0</v>
      </c>
      <c r="V75" s="42" t="n">
        <f aca="false">ROUND(AF75-L75,2)</f>
        <v>0</v>
      </c>
      <c r="W75" s="42" t="n">
        <f aca="false">ROUND(AG75-M75,2)</f>
        <v>0</v>
      </c>
      <c r="X75" s="42" t="n">
        <f aca="false">ROUND(AH75-N75,2)</f>
        <v>0</v>
      </c>
      <c r="Y75" s="42" t="n">
        <f aca="false">ROUND(AI75-O75,2)</f>
        <v>0</v>
      </c>
      <c r="Z75" s="56" t="n">
        <f aca="false">ROUND(P74*(1+N(Debts!$D$5)/12),2)</f>
        <v>0</v>
      </c>
      <c r="AA75" s="56" t="n">
        <f aca="false">ROUND(Q74*(1+N(Debts!$D$6)/12),2)</f>
        <v>0</v>
      </c>
      <c r="AB75" s="56" t="n">
        <f aca="false">ROUND(R74*(1+N(Debts!$D$7)/12),2)</f>
        <v>0</v>
      </c>
      <c r="AC75" s="56" t="n">
        <f aca="false">ROUND(S74*(1+N(Debts!$D$8)/12),2)</f>
        <v>0</v>
      </c>
      <c r="AD75" s="56" t="n">
        <f aca="false">ROUND(T74*(1+N(Debts!$D$9)/12),2)</f>
        <v>0</v>
      </c>
      <c r="AE75" s="56" t="n">
        <f aca="false">ROUND(U74*(1+N(Debts!$D$10)/12),2)</f>
        <v>0</v>
      </c>
      <c r="AF75" s="56" t="n">
        <f aca="false">ROUND(V74*(1+N(Debts!$D$11)/12),2)</f>
        <v>0</v>
      </c>
      <c r="AG75" s="56" t="n">
        <f aca="false">ROUND(W74*(1+N(Debts!$D$12)/12),2)</f>
        <v>0</v>
      </c>
      <c r="AH75" s="56" t="n">
        <f aca="false">ROUND(X74*(1+N(Debts!$D$13)/12),2)</f>
        <v>0</v>
      </c>
      <c r="AI75" s="56" t="n">
        <f aca="false">ROUND(Y74*(1+N(Debts!$D$14)/12),2)</f>
        <v>0</v>
      </c>
      <c r="AJ75" s="56" t="n">
        <f aca="false">MIN(Z75,MAX(0,N(Debts!$E$5)))</f>
        <v>0</v>
      </c>
      <c r="AK75" s="56" t="n">
        <f aca="false">MIN(AA75,MAX(0,N(Debts!$E$6)))</f>
        <v>0</v>
      </c>
      <c r="AL75" s="56" t="n">
        <f aca="false">MIN(AB75,MAX(0,N(Debts!$E$7)))</f>
        <v>0</v>
      </c>
      <c r="AM75" s="56" t="n">
        <f aca="false">MIN(AC75,MAX(0,N(Debts!$E$8)))</f>
        <v>0</v>
      </c>
      <c r="AN75" s="56" t="n">
        <f aca="false">MIN(AD75,MAX(0,N(Debts!$E$9)))</f>
        <v>0</v>
      </c>
      <c r="AO75" s="56" t="n">
        <f aca="false">MIN(AE75,MAX(0,N(Debts!$E$10)))</f>
        <v>0</v>
      </c>
      <c r="AP75" s="56" t="n">
        <f aca="false">MIN(AF75,MAX(0,N(Debts!$E$11)))</f>
        <v>0</v>
      </c>
      <c r="AQ75" s="56" t="n">
        <f aca="false">MIN(AG75,MAX(0,N(Debts!$E$12)))</f>
        <v>0</v>
      </c>
      <c r="AR75" s="56" t="n">
        <f aca="false">MIN(AH75,MAX(0,N(Debts!$E$13)))</f>
        <v>0</v>
      </c>
      <c r="AS75" s="56" t="n">
        <f aca="false">MIN(AI75,MAX(0,N(Debts!$E$14)))</f>
        <v>0</v>
      </c>
    </row>
    <row r="76" customFormat="false" ht="15" hidden="false" customHeight="false" outlineLevel="0" collapsed="false">
      <c r="A76" s="53" t="n">
        <v>72</v>
      </c>
      <c r="B76" s="54" t="n">
        <f aca="false">EDATE('Start Here'!$B$8,71)</f>
        <v>48488</v>
      </c>
      <c r="C76" s="42" t="n">
        <f aca="false">SUM(F76:O76)</f>
        <v>0</v>
      </c>
      <c r="D76" s="42" t="n">
        <f aca="false">ROUND(SUM($Z76:$AI76)-SUM(P75:Y75),2)</f>
        <v>0</v>
      </c>
      <c r="E76" s="55" t="n">
        <f aca="false">SUM(P76:Y76)</f>
        <v>0</v>
      </c>
      <c r="F76" s="42" t="n">
        <f aca="false">AJ76+MIN(Z76-AJ76,MAX(0,'Start Here'!$B$10-SUM($AJ76:$AS76)-SUMPRODUCT(($Z$3:$AI$3&lt;Z$3)*($Z76:$AI76-$AJ76:$AS76))))</f>
        <v>0</v>
      </c>
      <c r="G76" s="42" t="n">
        <f aca="false">AK76+MIN(AA76-AK76,MAX(0,'Start Here'!$B$10-SUM($AJ76:$AS76)-SUMPRODUCT(($Z$3:$AI$3&lt;AA$3)*($Z76:$AI76-$AJ76:$AS76))))</f>
        <v>0</v>
      </c>
      <c r="H76" s="42" t="n">
        <f aca="false">AL76+MIN(AB76-AL76,MAX(0,'Start Here'!$B$10-SUM($AJ76:$AS76)-SUMPRODUCT(($Z$3:$AI$3&lt;AB$3)*($Z76:$AI76-$AJ76:$AS76))))</f>
        <v>0</v>
      </c>
      <c r="I76" s="42" t="n">
        <f aca="false">AM76+MIN(AC76-AM76,MAX(0,'Start Here'!$B$10-SUM($AJ76:$AS76)-SUMPRODUCT(($Z$3:$AI$3&lt;AC$3)*($Z76:$AI76-$AJ76:$AS76))))</f>
        <v>0</v>
      </c>
      <c r="J76" s="42" t="n">
        <f aca="false">AN76+MIN(AD76-AN76,MAX(0,'Start Here'!$B$10-SUM($AJ76:$AS76)-SUMPRODUCT(($Z$3:$AI$3&lt;AD$3)*($Z76:$AI76-$AJ76:$AS76))))</f>
        <v>0</v>
      </c>
      <c r="K76" s="42" t="n">
        <f aca="false">AO76+MIN(AE76-AO76,MAX(0,'Start Here'!$B$10-SUM($AJ76:$AS76)-SUMPRODUCT(($Z$3:$AI$3&lt;AE$3)*($Z76:$AI76-$AJ76:$AS76))))</f>
        <v>0</v>
      </c>
      <c r="L76" s="42" t="n">
        <f aca="false">AP76+MIN(AF76-AP76,MAX(0,'Start Here'!$B$10-SUM($AJ76:$AS76)-SUMPRODUCT(($Z$3:$AI$3&lt;AF$3)*($Z76:$AI76-$AJ76:$AS76))))</f>
        <v>0</v>
      </c>
      <c r="M76" s="42" t="n">
        <f aca="false">AQ76+MIN(AG76-AQ76,MAX(0,'Start Here'!$B$10-SUM($AJ76:$AS76)-SUMPRODUCT(($Z$3:$AI$3&lt;AG$3)*($Z76:$AI76-$AJ76:$AS76))))</f>
        <v>0</v>
      </c>
      <c r="N76" s="42" t="n">
        <f aca="false">AR76+MIN(AH76-AR76,MAX(0,'Start Here'!$B$10-SUM($AJ76:$AS76)-SUMPRODUCT(($Z$3:$AI$3&lt;AH$3)*($Z76:$AI76-$AJ76:$AS76))))</f>
        <v>0</v>
      </c>
      <c r="O76" s="42" t="n">
        <f aca="false">AS76+MIN(AI76-AS76,MAX(0,'Start Here'!$B$10-SUM($AJ76:$AS76)-SUMPRODUCT(($Z$3:$AI$3&lt;AI$3)*($Z76:$AI76-$AJ76:$AS76))))</f>
        <v>0</v>
      </c>
      <c r="P76" s="42" t="n">
        <f aca="false">ROUND(Z76-F76,2)</f>
        <v>0</v>
      </c>
      <c r="Q76" s="42" t="n">
        <f aca="false">ROUND(AA76-G76,2)</f>
        <v>0</v>
      </c>
      <c r="R76" s="42" t="n">
        <f aca="false">ROUND(AB76-H76,2)</f>
        <v>0</v>
      </c>
      <c r="S76" s="42" t="n">
        <f aca="false">ROUND(AC76-I76,2)</f>
        <v>0</v>
      </c>
      <c r="T76" s="42" t="n">
        <f aca="false">ROUND(AD76-J76,2)</f>
        <v>0</v>
      </c>
      <c r="U76" s="42" t="n">
        <f aca="false">ROUND(AE76-K76,2)</f>
        <v>0</v>
      </c>
      <c r="V76" s="42" t="n">
        <f aca="false">ROUND(AF76-L76,2)</f>
        <v>0</v>
      </c>
      <c r="W76" s="42" t="n">
        <f aca="false">ROUND(AG76-M76,2)</f>
        <v>0</v>
      </c>
      <c r="X76" s="42" t="n">
        <f aca="false">ROUND(AH76-N76,2)</f>
        <v>0</v>
      </c>
      <c r="Y76" s="42" t="n">
        <f aca="false">ROUND(AI76-O76,2)</f>
        <v>0</v>
      </c>
      <c r="Z76" s="56" t="n">
        <f aca="false">ROUND(P75*(1+N(Debts!$D$5)/12),2)</f>
        <v>0</v>
      </c>
      <c r="AA76" s="56" t="n">
        <f aca="false">ROUND(Q75*(1+N(Debts!$D$6)/12),2)</f>
        <v>0</v>
      </c>
      <c r="AB76" s="56" t="n">
        <f aca="false">ROUND(R75*(1+N(Debts!$D$7)/12),2)</f>
        <v>0</v>
      </c>
      <c r="AC76" s="56" t="n">
        <f aca="false">ROUND(S75*(1+N(Debts!$D$8)/12),2)</f>
        <v>0</v>
      </c>
      <c r="AD76" s="56" t="n">
        <f aca="false">ROUND(T75*(1+N(Debts!$D$9)/12),2)</f>
        <v>0</v>
      </c>
      <c r="AE76" s="56" t="n">
        <f aca="false">ROUND(U75*(1+N(Debts!$D$10)/12),2)</f>
        <v>0</v>
      </c>
      <c r="AF76" s="56" t="n">
        <f aca="false">ROUND(V75*(1+N(Debts!$D$11)/12),2)</f>
        <v>0</v>
      </c>
      <c r="AG76" s="56" t="n">
        <f aca="false">ROUND(W75*(1+N(Debts!$D$12)/12),2)</f>
        <v>0</v>
      </c>
      <c r="AH76" s="56" t="n">
        <f aca="false">ROUND(X75*(1+N(Debts!$D$13)/12),2)</f>
        <v>0</v>
      </c>
      <c r="AI76" s="56" t="n">
        <f aca="false">ROUND(Y75*(1+N(Debts!$D$14)/12),2)</f>
        <v>0</v>
      </c>
      <c r="AJ76" s="56" t="n">
        <f aca="false">MIN(Z76,MAX(0,N(Debts!$E$5)))</f>
        <v>0</v>
      </c>
      <c r="AK76" s="56" t="n">
        <f aca="false">MIN(AA76,MAX(0,N(Debts!$E$6)))</f>
        <v>0</v>
      </c>
      <c r="AL76" s="56" t="n">
        <f aca="false">MIN(AB76,MAX(0,N(Debts!$E$7)))</f>
        <v>0</v>
      </c>
      <c r="AM76" s="56" t="n">
        <f aca="false">MIN(AC76,MAX(0,N(Debts!$E$8)))</f>
        <v>0</v>
      </c>
      <c r="AN76" s="56" t="n">
        <f aca="false">MIN(AD76,MAX(0,N(Debts!$E$9)))</f>
        <v>0</v>
      </c>
      <c r="AO76" s="56" t="n">
        <f aca="false">MIN(AE76,MAX(0,N(Debts!$E$10)))</f>
        <v>0</v>
      </c>
      <c r="AP76" s="56" t="n">
        <f aca="false">MIN(AF76,MAX(0,N(Debts!$E$11)))</f>
        <v>0</v>
      </c>
      <c r="AQ76" s="56" t="n">
        <f aca="false">MIN(AG76,MAX(0,N(Debts!$E$12)))</f>
        <v>0</v>
      </c>
      <c r="AR76" s="56" t="n">
        <f aca="false">MIN(AH76,MAX(0,N(Debts!$E$13)))</f>
        <v>0</v>
      </c>
      <c r="AS76" s="56" t="n">
        <f aca="false">MIN(AI76,MAX(0,N(Debts!$E$14)))</f>
        <v>0</v>
      </c>
    </row>
    <row r="77" customFormat="false" ht="15" hidden="false" customHeight="false" outlineLevel="0" collapsed="false">
      <c r="A77" s="53" t="n">
        <v>73</v>
      </c>
      <c r="B77" s="54" t="n">
        <f aca="false">EDATE('Start Here'!$B$8,72)</f>
        <v>48519</v>
      </c>
      <c r="C77" s="42" t="n">
        <f aca="false">SUM(F77:O77)</f>
        <v>0</v>
      </c>
      <c r="D77" s="42" t="n">
        <f aca="false">ROUND(SUM($Z77:$AI77)-SUM(P76:Y76),2)</f>
        <v>0</v>
      </c>
      <c r="E77" s="55" t="n">
        <f aca="false">SUM(P77:Y77)</f>
        <v>0</v>
      </c>
      <c r="F77" s="42" t="n">
        <f aca="false">AJ77+MIN(Z77-AJ77,MAX(0,'Start Here'!$B$10-SUM($AJ77:$AS77)-SUMPRODUCT(($Z$3:$AI$3&lt;Z$3)*($Z77:$AI77-$AJ77:$AS77))))</f>
        <v>0</v>
      </c>
      <c r="G77" s="42" t="n">
        <f aca="false">AK77+MIN(AA77-AK77,MAX(0,'Start Here'!$B$10-SUM($AJ77:$AS77)-SUMPRODUCT(($Z$3:$AI$3&lt;AA$3)*($Z77:$AI77-$AJ77:$AS77))))</f>
        <v>0</v>
      </c>
      <c r="H77" s="42" t="n">
        <f aca="false">AL77+MIN(AB77-AL77,MAX(0,'Start Here'!$B$10-SUM($AJ77:$AS77)-SUMPRODUCT(($Z$3:$AI$3&lt;AB$3)*($Z77:$AI77-$AJ77:$AS77))))</f>
        <v>0</v>
      </c>
      <c r="I77" s="42" t="n">
        <f aca="false">AM77+MIN(AC77-AM77,MAX(0,'Start Here'!$B$10-SUM($AJ77:$AS77)-SUMPRODUCT(($Z$3:$AI$3&lt;AC$3)*($Z77:$AI77-$AJ77:$AS77))))</f>
        <v>0</v>
      </c>
      <c r="J77" s="42" t="n">
        <f aca="false">AN77+MIN(AD77-AN77,MAX(0,'Start Here'!$B$10-SUM($AJ77:$AS77)-SUMPRODUCT(($Z$3:$AI$3&lt;AD$3)*($Z77:$AI77-$AJ77:$AS77))))</f>
        <v>0</v>
      </c>
      <c r="K77" s="42" t="n">
        <f aca="false">AO77+MIN(AE77-AO77,MAX(0,'Start Here'!$B$10-SUM($AJ77:$AS77)-SUMPRODUCT(($Z$3:$AI$3&lt;AE$3)*($Z77:$AI77-$AJ77:$AS77))))</f>
        <v>0</v>
      </c>
      <c r="L77" s="42" t="n">
        <f aca="false">AP77+MIN(AF77-AP77,MAX(0,'Start Here'!$B$10-SUM($AJ77:$AS77)-SUMPRODUCT(($Z$3:$AI$3&lt;AF$3)*($Z77:$AI77-$AJ77:$AS77))))</f>
        <v>0</v>
      </c>
      <c r="M77" s="42" t="n">
        <f aca="false">AQ77+MIN(AG77-AQ77,MAX(0,'Start Here'!$B$10-SUM($AJ77:$AS77)-SUMPRODUCT(($Z$3:$AI$3&lt;AG$3)*($Z77:$AI77-$AJ77:$AS77))))</f>
        <v>0</v>
      </c>
      <c r="N77" s="42" t="n">
        <f aca="false">AR77+MIN(AH77-AR77,MAX(0,'Start Here'!$B$10-SUM($AJ77:$AS77)-SUMPRODUCT(($Z$3:$AI$3&lt;AH$3)*($Z77:$AI77-$AJ77:$AS77))))</f>
        <v>0</v>
      </c>
      <c r="O77" s="42" t="n">
        <f aca="false">AS77+MIN(AI77-AS77,MAX(0,'Start Here'!$B$10-SUM($AJ77:$AS77)-SUMPRODUCT(($Z$3:$AI$3&lt;AI$3)*($Z77:$AI77-$AJ77:$AS77))))</f>
        <v>0</v>
      </c>
      <c r="P77" s="42" t="n">
        <f aca="false">ROUND(Z77-F77,2)</f>
        <v>0</v>
      </c>
      <c r="Q77" s="42" t="n">
        <f aca="false">ROUND(AA77-G77,2)</f>
        <v>0</v>
      </c>
      <c r="R77" s="42" t="n">
        <f aca="false">ROUND(AB77-H77,2)</f>
        <v>0</v>
      </c>
      <c r="S77" s="42" t="n">
        <f aca="false">ROUND(AC77-I77,2)</f>
        <v>0</v>
      </c>
      <c r="T77" s="42" t="n">
        <f aca="false">ROUND(AD77-J77,2)</f>
        <v>0</v>
      </c>
      <c r="U77" s="42" t="n">
        <f aca="false">ROUND(AE77-K77,2)</f>
        <v>0</v>
      </c>
      <c r="V77" s="42" t="n">
        <f aca="false">ROUND(AF77-L77,2)</f>
        <v>0</v>
      </c>
      <c r="W77" s="42" t="n">
        <f aca="false">ROUND(AG77-M77,2)</f>
        <v>0</v>
      </c>
      <c r="X77" s="42" t="n">
        <f aca="false">ROUND(AH77-N77,2)</f>
        <v>0</v>
      </c>
      <c r="Y77" s="42" t="n">
        <f aca="false">ROUND(AI77-O77,2)</f>
        <v>0</v>
      </c>
      <c r="Z77" s="56" t="n">
        <f aca="false">ROUND(P76*(1+N(Debts!$D$5)/12),2)</f>
        <v>0</v>
      </c>
      <c r="AA77" s="56" t="n">
        <f aca="false">ROUND(Q76*(1+N(Debts!$D$6)/12),2)</f>
        <v>0</v>
      </c>
      <c r="AB77" s="56" t="n">
        <f aca="false">ROUND(R76*(1+N(Debts!$D$7)/12),2)</f>
        <v>0</v>
      </c>
      <c r="AC77" s="56" t="n">
        <f aca="false">ROUND(S76*(1+N(Debts!$D$8)/12),2)</f>
        <v>0</v>
      </c>
      <c r="AD77" s="56" t="n">
        <f aca="false">ROUND(T76*(1+N(Debts!$D$9)/12),2)</f>
        <v>0</v>
      </c>
      <c r="AE77" s="56" t="n">
        <f aca="false">ROUND(U76*(1+N(Debts!$D$10)/12),2)</f>
        <v>0</v>
      </c>
      <c r="AF77" s="56" t="n">
        <f aca="false">ROUND(V76*(1+N(Debts!$D$11)/12),2)</f>
        <v>0</v>
      </c>
      <c r="AG77" s="56" t="n">
        <f aca="false">ROUND(W76*(1+N(Debts!$D$12)/12),2)</f>
        <v>0</v>
      </c>
      <c r="AH77" s="56" t="n">
        <f aca="false">ROUND(X76*(1+N(Debts!$D$13)/12),2)</f>
        <v>0</v>
      </c>
      <c r="AI77" s="56" t="n">
        <f aca="false">ROUND(Y76*(1+N(Debts!$D$14)/12),2)</f>
        <v>0</v>
      </c>
      <c r="AJ77" s="56" t="n">
        <f aca="false">MIN(Z77,MAX(0,N(Debts!$E$5)))</f>
        <v>0</v>
      </c>
      <c r="AK77" s="56" t="n">
        <f aca="false">MIN(AA77,MAX(0,N(Debts!$E$6)))</f>
        <v>0</v>
      </c>
      <c r="AL77" s="56" t="n">
        <f aca="false">MIN(AB77,MAX(0,N(Debts!$E$7)))</f>
        <v>0</v>
      </c>
      <c r="AM77" s="56" t="n">
        <f aca="false">MIN(AC77,MAX(0,N(Debts!$E$8)))</f>
        <v>0</v>
      </c>
      <c r="AN77" s="56" t="n">
        <f aca="false">MIN(AD77,MAX(0,N(Debts!$E$9)))</f>
        <v>0</v>
      </c>
      <c r="AO77" s="56" t="n">
        <f aca="false">MIN(AE77,MAX(0,N(Debts!$E$10)))</f>
        <v>0</v>
      </c>
      <c r="AP77" s="56" t="n">
        <f aca="false">MIN(AF77,MAX(0,N(Debts!$E$11)))</f>
        <v>0</v>
      </c>
      <c r="AQ77" s="56" t="n">
        <f aca="false">MIN(AG77,MAX(0,N(Debts!$E$12)))</f>
        <v>0</v>
      </c>
      <c r="AR77" s="56" t="n">
        <f aca="false">MIN(AH77,MAX(0,N(Debts!$E$13)))</f>
        <v>0</v>
      </c>
      <c r="AS77" s="56" t="n">
        <f aca="false">MIN(AI77,MAX(0,N(Debts!$E$14)))</f>
        <v>0</v>
      </c>
    </row>
    <row r="78" customFormat="false" ht="15" hidden="false" customHeight="false" outlineLevel="0" collapsed="false">
      <c r="A78" s="53" t="n">
        <v>74</v>
      </c>
      <c r="B78" s="54" t="n">
        <f aca="false">EDATE('Start Here'!$B$8,73)</f>
        <v>48549</v>
      </c>
      <c r="C78" s="42" t="n">
        <f aca="false">SUM(F78:O78)</f>
        <v>0</v>
      </c>
      <c r="D78" s="42" t="n">
        <f aca="false">ROUND(SUM($Z78:$AI78)-SUM(P77:Y77),2)</f>
        <v>0</v>
      </c>
      <c r="E78" s="55" t="n">
        <f aca="false">SUM(P78:Y78)</f>
        <v>0</v>
      </c>
      <c r="F78" s="42" t="n">
        <f aca="false">AJ78+MIN(Z78-AJ78,MAX(0,'Start Here'!$B$10-SUM($AJ78:$AS78)-SUMPRODUCT(($Z$3:$AI$3&lt;Z$3)*($Z78:$AI78-$AJ78:$AS78))))</f>
        <v>0</v>
      </c>
      <c r="G78" s="42" t="n">
        <f aca="false">AK78+MIN(AA78-AK78,MAX(0,'Start Here'!$B$10-SUM($AJ78:$AS78)-SUMPRODUCT(($Z$3:$AI$3&lt;AA$3)*($Z78:$AI78-$AJ78:$AS78))))</f>
        <v>0</v>
      </c>
      <c r="H78" s="42" t="n">
        <f aca="false">AL78+MIN(AB78-AL78,MAX(0,'Start Here'!$B$10-SUM($AJ78:$AS78)-SUMPRODUCT(($Z$3:$AI$3&lt;AB$3)*($Z78:$AI78-$AJ78:$AS78))))</f>
        <v>0</v>
      </c>
      <c r="I78" s="42" t="n">
        <f aca="false">AM78+MIN(AC78-AM78,MAX(0,'Start Here'!$B$10-SUM($AJ78:$AS78)-SUMPRODUCT(($Z$3:$AI$3&lt;AC$3)*($Z78:$AI78-$AJ78:$AS78))))</f>
        <v>0</v>
      </c>
      <c r="J78" s="42" t="n">
        <f aca="false">AN78+MIN(AD78-AN78,MAX(0,'Start Here'!$B$10-SUM($AJ78:$AS78)-SUMPRODUCT(($Z$3:$AI$3&lt;AD$3)*($Z78:$AI78-$AJ78:$AS78))))</f>
        <v>0</v>
      </c>
      <c r="K78" s="42" t="n">
        <f aca="false">AO78+MIN(AE78-AO78,MAX(0,'Start Here'!$B$10-SUM($AJ78:$AS78)-SUMPRODUCT(($Z$3:$AI$3&lt;AE$3)*($Z78:$AI78-$AJ78:$AS78))))</f>
        <v>0</v>
      </c>
      <c r="L78" s="42" t="n">
        <f aca="false">AP78+MIN(AF78-AP78,MAX(0,'Start Here'!$B$10-SUM($AJ78:$AS78)-SUMPRODUCT(($Z$3:$AI$3&lt;AF$3)*($Z78:$AI78-$AJ78:$AS78))))</f>
        <v>0</v>
      </c>
      <c r="M78" s="42" t="n">
        <f aca="false">AQ78+MIN(AG78-AQ78,MAX(0,'Start Here'!$B$10-SUM($AJ78:$AS78)-SUMPRODUCT(($Z$3:$AI$3&lt;AG$3)*($Z78:$AI78-$AJ78:$AS78))))</f>
        <v>0</v>
      </c>
      <c r="N78" s="42" t="n">
        <f aca="false">AR78+MIN(AH78-AR78,MAX(0,'Start Here'!$B$10-SUM($AJ78:$AS78)-SUMPRODUCT(($Z$3:$AI$3&lt;AH$3)*($Z78:$AI78-$AJ78:$AS78))))</f>
        <v>0</v>
      </c>
      <c r="O78" s="42" t="n">
        <f aca="false">AS78+MIN(AI78-AS78,MAX(0,'Start Here'!$B$10-SUM($AJ78:$AS78)-SUMPRODUCT(($Z$3:$AI$3&lt;AI$3)*($Z78:$AI78-$AJ78:$AS78))))</f>
        <v>0</v>
      </c>
      <c r="P78" s="42" t="n">
        <f aca="false">ROUND(Z78-F78,2)</f>
        <v>0</v>
      </c>
      <c r="Q78" s="42" t="n">
        <f aca="false">ROUND(AA78-G78,2)</f>
        <v>0</v>
      </c>
      <c r="R78" s="42" t="n">
        <f aca="false">ROUND(AB78-H78,2)</f>
        <v>0</v>
      </c>
      <c r="S78" s="42" t="n">
        <f aca="false">ROUND(AC78-I78,2)</f>
        <v>0</v>
      </c>
      <c r="T78" s="42" t="n">
        <f aca="false">ROUND(AD78-J78,2)</f>
        <v>0</v>
      </c>
      <c r="U78" s="42" t="n">
        <f aca="false">ROUND(AE78-K78,2)</f>
        <v>0</v>
      </c>
      <c r="V78" s="42" t="n">
        <f aca="false">ROUND(AF78-L78,2)</f>
        <v>0</v>
      </c>
      <c r="W78" s="42" t="n">
        <f aca="false">ROUND(AG78-M78,2)</f>
        <v>0</v>
      </c>
      <c r="X78" s="42" t="n">
        <f aca="false">ROUND(AH78-N78,2)</f>
        <v>0</v>
      </c>
      <c r="Y78" s="42" t="n">
        <f aca="false">ROUND(AI78-O78,2)</f>
        <v>0</v>
      </c>
      <c r="Z78" s="56" t="n">
        <f aca="false">ROUND(P77*(1+N(Debts!$D$5)/12),2)</f>
        <v>0</v>
      </c>
      <c r="AA78" s="56" t="n">
        <f aca="false">ROUND(Q77*(1+N(Debts!$D$6)/12),2)</f>
        <v>0</v>
      </c>
      <c r="AB78" s="56" t="n">
        <f aca="false">ROUND(R77*(1+N(Debts!$D$7)/12),2)</f>
        <v>0</v>
      </c>
      <c r="AC78" s="56" t="n">
        <f aca="false">ROUND(S77*(1+N(Debts!$D$8)/12),2)</f>
        <v>0</v>
      </c>
      <c r="AD78" s="56" t="n">
        <f aca="false">ROUND(T77*(1+N(Debts!$D$9)/12),2)</f>
        <v>0</v>
      </c>
      <c r="AE78" s="56" t="n">
        <f aca="false">ROUND(U77*(1+N(Debts!$D$10)/12),2)</f>
        <v>0</v>
      </c>
      <c r="AF78" s="56" t="n">
        <f aca="false">ROUND(V77*(1+N(Debts!$D$11)/12),2)</f>
        <v>0</v>
      </c>
      <c r="AG78" s="56" t="n">
        <f aca="false">ROUND(W77*(1+N(Debts!$D$12)/12),2)</f>
        <v>0</v>
      </c>
      <c r="AH78" s="56" t="n">
        <f aca="false">ROUND(X77*(1+N(Debts!$D$13)/12),2)</f>
        <v>0</v>
      </c>
      <c r="AI78" s="56" t="n">
        <f aca="false">ROUND(Y77*(1+N(Debts!$D$14)/12),2)</f>
        <v>0</v>
      </c>
      <c r="AJ78" s="56" t="n">
        <f aca="false">MIN(Z78,MAX(0,N(Debts!$E$5)))</f>
        <v>0</v>
      </c>
      <c r="AK78" s="56" t="n">
        <f aca="false">MIN(AA78,MAX(0,N(Debts!$E$6)))</f>
        <v>0</v>
      </c>
      <c r="AL78" s="56" t="n">
        <f aca="false">MIN(AB78,MAX(0,N(Debts!$E$7)))</f>
        <v>0</v>
      </c>
      <c r="AM78" s="56" t="n">
        <f aca="false">MIN(AC78,MAX(0,N(Debts!$E$8)))</f>
        <v>0</v>
      </c>
      <c r="AN78" s="56" t="n">
        <f aca="false">MIN(AD78,MAX(0,N(Debts!$E$9)))</f>
        <v>0</v>
      </c>
      <c r="AO78" s="56" t="n">
        <f aca="false">MIN(AE78,MAX(0,N(Debts!$E$10)))</f>
        <v>0</v>
      </c>
      <c r="AP78" s="56" t="n">
        <f aca="false">MIN(AF78,MAX(0,N(Debts!$E$11)))</f>
        <v>0</v>
      </c>
      <c r="AQ78" s="56" t="n">
        <f aca="false">MIN(AG78,MAX(0,N(Debts!$E$12)))</f>
        <v>0</v>
      </c>
      <c r="AR78" s="56" t="n">
        <f aca="false">MIN(AH78,MAX(0,N(Debts!$E$13)))</f>
        <v>0</v>
      </c>
      <c r="AS78" s="56" t="n">
        <f aca="false">MIN(AI78,MAX(0,N(Debts!$E$14)))</f>
        <v>0</v>
      </c>
    </row>
    <row r="79" customFormat="false" ht="15" hidden="false" customHeight="false" outlineLevel="0" collapsed="false">
      <c r="A79" s="53" t="n">
        <v>75</v>
      </c>
      <c r="B79" s="54" t="n">
        <f aca="false">EDATE('Start Here'!$B$8,74)</f>
        <v>48580</v>
      </c>
      <c r="C79" s="42" t="n">
        <f aca="false">SUM(F79:O79)</f>
        <v>0</v>
      </c>
      <c r="D79" s="42" t="n">
        <f aca="false">ROUND(SUM($Z79:$AI79)-SUM(P78:Y78),2)</f>
        <v>0</v>
      </c>
      <c r="E79" s="55" t="n">
        <f aca="false">SUM(P79:Y79)</f>
        <v>0</v>
      </c>
      <c r="F79" s="42" t="n">
        <f aca="false">AJ79+MIN(Z79-AJ79,MAX(0,'Start Here'!$B$10-SUM($AJ79:$AS79)-SUMPRODUCT(($Z$3:$AI$3&lt;Z$3)*($Z79:$AI79-$AJ79:$AS79))))</f>
        <v>0</v>
      </c>
      <c r="G79" s="42" t="n">
        <f aca="false">AK79+MIN(AA79-AK79,MAX(0,'Start Here'!$B$10-SUM($AJ79:$AS79)-SUMPRODUCT(($Z$3:$AI$3&lt;AA$3)*($Z79:$AI79-$AJ79:$AS79))))</f>
        <v>0</v>
      </c>
      <c r="H79" s="42" t="n">
        <f aca="false">AL79+MIN(AB79-AL79,MAX(0,'Start Here'!$B$10-SUM($AJ79:$AS79)-SUMPRODUCT(($Z$3:$AI$3&lt;AB$3)*($Z79:$AI79-$AJ79:$AS79))))</f>
        <v>0</v>
      </c>
      <c r="I79" s="42" t="n">
        <f aca="false">AM79+MIN(AC79-AM79,MAX(0,'Start Here'!$B$10-SUM($AJ79:$AS79)-SUMPRODUCT(($Z$3:$AI$3&lt;AC$3)*($Z79:$AI79-$AJ79:$AS79))))</f>
        <v>0</v>
      </c>
      <c r="J79" s="42" t="n">
        <f aca="false">AN79+MIN(AD79-AN79,MAX(0,'Start Here'!$B$10-SUM($AJ79:$AS79)-SUMPRODUCT(($Z$3:$AI$3&lt;AD$3)*($Z79:$AI79-$AJ79:$AS79))))</f>
        <v>0</v>
      </c>
      <c r="K79" s="42" t="n">
        <f aca="false">AO79+MIN(AE79-AO79,MAX(0,'Start Here'!$B$10-SUM($AJ79:$AS79)-SUMPRODUCT(($Z$3:$AI$3&lt;AE$3)*($Z79:$AI79-$AJ79:$AS79))))</f>
        <v>0</v>
      </c>
      <c r="L79" s="42" t="n">
        <f aca="false">AP79+MIN(AF79-AP79,MAX(0,'Start Here'!$B$10-SUM($AJ79:$AS79)-SUMPRODUCT(($Z$3:$AI$3&lt;AF$3)*($Z79:$AI79-$AJ79:$AS79))))</f>
        <v>0</v>
      </c>
      <c r="M79" s="42" t="n">
        <f aca="false">AQ79+MIN(AG79-AQ79,MAX(0,'Start Here'!$B$10-SUM($AJ79:$AS79)-SUMPRODUCT(($Z$3:$AI$3&lt;AG$3)*($Z79:$AI79-$AJ79:$AS79))))</f>
        <v>0</v>
      </c>
      <c r="N79" s="42" t="n">
        <f aca="false">AR79+MIN(AH79-AR79,MAX(0,'Start Here'!$B$10-SUM($AJ79:$AS79)-SUMPRODUCT(($Z$3:$AI$3&lt;AH$3)*($Z79:$AI79-$AJ79:$AS79))))</f>
        <v>0</v>
      </c>
      <c r="O79" s="42" t="n">
        <f aca="false">AS79+MIN(AI79-AS79,MAX(0,'Start Here'!$B$10-SUM($AJ79:$AS79)-SUMPRODUCT(($Z$3:$AI$3&lt;AI$3)*($Z79:$AI79-$AJ79:$AS79))))</f>
        <v>0</v>
      </c>
      <c r="P79" s="42" t="n">
        <f aca="false">ROUND(Z79-F79,2)</f>
        <v>0</v>
      </c>
      <c r="Q79" s="42" t="n">
        <f aca="false">ROUND(AA79-G79,2)</f>
        <v>0</v>
      </c>
      <c r="R79" s="42" t="n">
        <f aca="false">ROUND(AB79-H79,2)</f>
        <v>0</v>
      </c>
      <c r="S79" s="42" t="n">
        <f aca="false">ROUND(AC79-I79,2)</f>
        <v>0</v>
      </c>
      <c r="T79" s="42" t="n">
        <f aca="false">ROUND(AD79-J79,2)</f>
        <v>0</v>
      </c>
      <c r="U79" s="42" t="n">
        <f aca="false">ROUND(AE79-K79,2)</f>
        <v>0</v>
      </c>
      <c r="V79" s="42" t="n">
        <f aca="false">ROUND(AF79-L79,2)</f>
        <v>0</v>
      </c>
      <c r="W79" s="42" t="n">
        <f aca="false">ROUND(AG79-M79,2)</f>
        <v>0</v>
      </c>
      <c r="X79" s="42" t="n">
        <f aca="false">ROUND(AH79-N79,2)</f>
        <v>0</v>
      </c>
      <c r="Y79" s="42" t="n">
        <f aca="false">ROUND(AI79-O79,2)</f>
        <v>0</v>
      </c>
      <c r="Z79" s="56" t="n">
        <f aca="false">ROUND(P78*(1+N(Debts!$D$5)/12),2)</f>
        <v>0</v>
      </c>
      <c r="AA79" s="56" t="n">
        <f aca="false">ROUND(Q78*(1+N(Debts!$D$6)/12),2)</f>
        <v>0</v>
      </c>
      <c r="AB79" s="56" t="n">
        <f aca="false">ROUND(R78*(1+N(Debts!$D$7)/12),2)</f>
        <v>0</v>
      </c>
      <c r="AC79" s="56" t="n">
        <f aca="false">ROUND(S78*(1+N(Debts!$D$8)/12),2)</f>
        <v>0</v>
      </c>
      <c r="AD79" s="56" t="n">
        <f aca="false">ROUND(T78*(1+N(Debts!$D$9)/12),2)</f>
        <v>0</v>
      </c>
      <c r="AE79" s="56" t="n">
        <f aca="false">ROUND(U78*(1+N(Debts!$D$10)/12),2)</f>
        <v>0</v>
      </c>
      <c r="AF79" s="56" t="n">
        <f aca="false">ROUND(V78*(1+N(Debts!$D$11)/12),2)</f>
        <v>0</v>
      </c>
      <c r="AG79" s="56" t="n">
        <f aca="false">ROUND(W78*(1+N(Debts!$D$12)/12),2)</f>
        <v>0</v>
      </c>
      <c r="AH79" s="56" t="n">
        <f aca="false">ROUND(X78*(1+N(Debts!$D$13)/12),2)</f>
        <v>0</v>
      </c>
      <c r="AI79" s="56" t="n">
        <f aca="false">ROUND(Y78*(1+N(Debts!$D$14)/12),2)</f>
        <v>0</v>
      </c>
      <c r="AJ79" s="56" t="n">
        <f aca="false">MIN(Z79,MAX(0,N(Debts!$E$5)))</f>
        <v>0</v>
      </c>
      <c r="AK79" s="56" t="n">
        <f aca="false">MIN(AA79,MAX(0,N(Debts!$E$6)))</f>
        <v>0</v>
      </c>
      <c r="AL79" s="56" t="n">
        <f aca="false">MIN(AB79,MAX(0,N(Debts!$E$7)))</f>
        <v>0</v>
      </c>
      <c r="AM79" s="56" t="n">
        <f aca="false">MIN(AC79,MAX(0,N(Debts!$E$8)))</f>
        <v>0</v>
      </c>
      <c r="AN79" s="56" t="n">
        <f aca="false">MIN(AD79,MAX(0,N(Debts!$E$9)))</f>
        <v>0</v>
      </c>
      <c r="AO79" s="56" t="n">
        <f aca="false">MIN(AE79,MAX(0,N(Debts!$E$10)))</f>
        <v>0</v>
      </c>
      <c r="AP79" s="56" t="n">
        <f aca="false">MIN(AF79,MAX(0,N(Debts!$E$11)))</f>
        <v>0</v>
      </c>
      <c r="AQ79" s="56" t="n">
        <f aca="false">MIN(AG79,MAX(0,N(Debts!$E$12)))</f>
        <v>0</v>
      </c>
      <c r="AR79" s="56" t="n">
        <f aca="false">MIN(AH79,MAX(0,N(Debts!$E$13)))</f>
        <v>0</v>
      </c>
      <c r="AS79" s="56" t="n">
        <f aca="false">MIN(AI79,MAX(0,N(Debts!$E$14)))</f>
        <v>0</v>
      </c>
    </row>
    <row r="80" customFormat="false" ht="15" hidden="false" customHeight="false" outlineLevel="0" collapsed="false">
      <c r="A80" s="53" t="n">
        <v>76</v>
      </c>
      <c r="B80" s="54" t="n">
        <f aca="false">EDATE('Start Here'!$B$8,75)</f>
        <v>48611</v>
      </c>
      <c r="C80" s="42" t="n">
        <f aca="false">SUM(F80:O80)</f>
        <v>0</v>
      </c>
      <c r="D80" s="42" t="n">
        <f aca="false">ROUND(SUM($Z80:$AI80)-SUM(P79:Y79),2)</f>
        <v>0</v>
      </c>
      <c r="E80" s="55" t="n">
        <f aca="false">SUM(P80:Y80)</f>
        <v>0</v>
      </c>
      <c r="F80" s="42" t="n">
        <f aca="false">AJ80+MIN(Z80-AJ80,MAX(0,'Start Here'!$B$10-SUM($AJ80:$AS80)-SUMPRODUCT(($Z$3:$AI$3&lt;Z$3)*($Z80:$AI80-$AJ80:$AS80))))</f>
        <v>0</v>
      </c>
      <c r="G80" s="42" t="n">
        <f aca="false">AK80+MIN(AA80-AK80,MAX(0,'Start Here'!$B$10-SUM($AJ80:$AS80)-SUMPRODUCT(($Z$3:$AI$3&lt;AA$3)*($Z80:$AI80-$AJ80:$AS80))))</f>
        <v>0</v>
      </c>
      <c r="H80" s="42" t="n">
        <f aca="false">AL80+MIN(AB80-AL80,MAX(0,'Start Here'!$B$10-SUM($AJ80:$AS80)-SUMPRODUCT(($Z$3:$AI$3&lt;AB$3)*($Z80:$AI80-$AJ80:$AS80))))</f>
        <v>0</v>
      </c>
      <c r="I80" s="42" t="n">
        <f aca="false">AM80+MIN(AC80-AM80,MAX(0,'Start Here'!$B$10-SUM($AJ80:$AS80)-SUMPRODUCT(($Z$3:$AI$3&lt;AC$3)*($Z80:$AI80-$AJ80:$AS80))))</f>
        <v>0</v>
      </c>
      <c r="J80" s="42" t="n">
        <f aca="false">AN80+MIN(AD80-AN80,MAX(0,'Start Here'!$B$10-SUM($AJ80:$AS80)-SUMPRODUCT(($Z$3:$AI$3&lt;AD$3)*($Z80:$AI80-$AJ80:$AS80))))</f>
        <v>0</v>
      </c>
      <c r="K80" s="42" t="n">
        <f aca="false">AO80+MIN(AE80-AO80,MAX(0,'Start Here'!$B$10-SUM($AJ80:$AS80)-SUMPRODUCT(($Z$3:$AI$3&lt;AE$3)*($Z80:$AI80-$AJ80:$AS80))))</f>
        <v>0</v>
      </c>
      <c r="L80" s="42" t="n">
        <f aca="false">AP80+MIN(AF80-AP80,MAX(0,'Start Here'!$B$10-SUM($AJ80:$AS80)-SUMPRODUCT(($Z$3:$AI$3&lt;AF$3)*($Z80:$AI80-$AJ80:$AS80))))</f>
        <v>0</v>
      </c>
      <c r="M80" s="42" t="n">
        <f aca="false">AQ80+MIN(AG80-AQ80,MAX(0,'Start Here'!$B$10-SUM($AJ80:$AS80)-SUMPRODUCT(($Z$3:$AI$3&lt;AG$3)*($Z80:$AI80-$AJ80:$AS80))))</f>
        <v>0</v>
      </c>
      <c r="N80" s="42" t="n">
        <f aca="false">AR80+MIN(AH80-AR80,MAX(0,'Start Here'!$B$10-SUM($AJ80:$AS80)-SUMPRODUCT(($Z$3:$AI$3&lt;AH$3)*($Z80:$AI80-$AJ80:$AS80))))</f>
        <v>0</v>
      </c>
      <c r="O80" s="42" t="n">
        <f aca="false">AS80+MIN(AI80-AS80,MAX(0,'Start Here'!$B$10-SUM($AJ80:$AS80)-SUMPRODUCT(($Z$3:$AI$3&lt;AI$3)*($Z80:$AI80-$AJ80:$AS80))))</f>
        <v>0</v>
      </c>
      <c r="P80" s="42" t="n">
        <f aca="false">ROUND(Z80-F80,2)</f>
        <v>0</v>
      </c>
      <c r="Q80" s="42" t="n">
        <f aca="false">ROUND(AA80-G80,2)</f>
        <v>0</v>
      </c>
      <c r="R80" s="42" t="n">
        <f aca="false">ROUND(AB80-H80,2)</f>
        <v>0</v>
      </c>
      <c r="S80" s="42" t="n">
        <f aca="false">ROUND(AC80-I80,2)</f>
        <v>0</v>
      </c>
      <c r="T80" s="42" t="n">
        <f aca="false">ROUND(AD80-J80,2)</f>
        <v>0</v>
      </c>
      <c r="U80" s="42" t="n">
        <f aca="false">ROUND(AE80-K80,2)</f>
        <v>0</v>
      </c>
      <c r="V80" s="42" t="n">
        <f aca="false">ROUND(AF80-L80,2)</f>
        <v>0</v>
      </c>
      <c r="W80" s="42" t="n">
        <f aca="false">ROUND(AG80-M80,2)</f>
        <v>0</v>
      </c>
      <c r="X80" s="42" t="n">
        <f aca="false">ROUND(AH80-N80,2)</f>
        <v>0</v>
      </c>
      <c r="Y80" s="42" t="n">
        <f aca="false">ROUND(AI80-O80,2)</f>
        <v>0</v>
      </c>
      <c r="Z80" s="56" t="n">
        <f aca="false">ROUND(P79*(1+N(Debts!$D$5)/12),2)</f>
        <v>0</v>
      </c>
      <c r="AA80" s="56" t="n">
        <f aca="false">ROUND(Q79*(1+N(Debts!$D$6)/12),2)</f>
        <v>0</v>
      </c>
      <c r="AB80" s="56" t="n">
        <f aca="false">ROUND(R79*(1+N(Debts!$D$7)/12),2)</f>
        <v>0</v>
      </c>
      <c r="AC80" s="56" t="n">
        <f aca="false">ROUND(S79*(1+N(Debts!$D$8)/12),2)</f>
        <v>0</v>
      </c>
      <c r="AD80" s="56" t="n">
        <f aca="false">ROUND(T79*(1+N(Debts!$D$9)/12),2)</f>
        <v>0</v>
      </c>
      <c r="AE80" s="56" t="n">
        <f aca="false">ROUND(U79*(1+N(Debts!$D$10)/12),2)</f>
        <v>0</v>
      </c>
      <c r="AF80" s="56" t="n">
        <f aca="false">ROUND(V79*(1+N(Debts!$D$11)/12),2)</f>
        <v>0</v>
      </c>
      <c r="AG80" s="56" t="n">
        <f aca="false">ROUND(W79*(1+N(Debts!$D$12)/12),2)</f>
        <v>0</v>
      </c>
      <c r="AH80" s="56" t="n">
        <f aca="false">ROUND(X79*(1+N(Debts!$D$13)/12),2)</f>
        <v>0</v>
      </c>
      <c r="AI80" s="56" t="n">
        <f aca="false">ROUND(Y79*(1+N(Debts!$D$14)/12),2)</f>
        <v>0</v>
      </c>
      <c r="AJ80" s="56" t="n">
        <f aca="false">MIN(Z80,MAX(0,N(Debts!$E$5)))</f>
        <v>0</v>
      </c>
      <c r="AK80" s="56" t="n">
        <f aca="false">MIN(AA80,MAX(0,N(Debts!$E$6)))</f>
        <v>0</v>
      </c>
      <c r="AL80" s="56" t="n">
        <f aca="false">MIN(AB80,MAX(0,N(Debts!$E$7)))</f>
        <v>0</v>
      </c>
      <c r="AM80" s="56" t="n">
        <f aca="false">MIN(AC80,MAX(0,N(Debts!$E$8)))</f>
        <v>0</v>
      </c>
      <c r="AN80" s="56" t="n">
        <f aca="false">MIN(AD80,MAX(0,N(Debts!$E$9)))</f>
        <v>0</v>
      </c>
      <c r="AO80" s="56" t="n">
        <f aca="false">MIN(AE80,MAX(0,N(Debts!$E$10)))</f>
        <v>0</v>
      </c>
      <c r="AP80" s="56" t="n">
        <f aca="false">MIN(AF80,MAX(0,N(Debts!$E$11)))</f>
        <v>0</v>
      </c>
      <c r="AQ80" s="56" t="n">
        <f aca="false">MIN(AG80,MAX(0,N(Debts!$E$12)))</f>
        <v>0</v>
      </c>
      <c r="AR80" s="56" t="n">
        <f aca="false">MIN(AH80,MAX(0,N(Debts!$E$13)))</f>
        <v>0</v>
      </c>
      <c r="AS80" s="56" t="n">
        <f aca="false">MIN(AI80,MAX(0,N(Debts!$E$14)))</f>
        <v>0</v>
      </c>
    </row>
    <row r="81" customFormat="false" ht="15" hidden="false" customHeight="false" outlineLevel="0" collapsed="false">
      <c r="A81" s="53" t="n">
        <v>77</v>
      </c>
      <c r="B81" s="54" t="n">
        <f aca="false">EDATE('Start Here'!$B$8,76)</f>
        <v>48639</v>
      </c>
      <c r="C81" s="42" t="n">
        <f aca="false">SUM(F81:O81)</f>
        <v>0</v>
      </c>
      <c r="D81" s="42" t="n">
        <f aca="false">ROUND(SUM($Z81:$AI81)-SUM(P80:Y80),2)</f>
        <v>0</v>
      </c>
      <c r="E81" s="55" t="n">
        <f aca="false">SUM(P81:Y81)</f>
        <v>0</v>
      </c>
      <c r="F81" s="42" t="n">
        <f aca="false">AJ81+MIN(Z81-AJ81,MAX(0,'Start Here'!$B$10-SUM($AJ81:$AS81)-SUMPRODUCT(($Z$3:$AI$3&lt;Z$3)*($Z81:$AI81-$AJ81:$AS81))))</f>
        <v>0</v>
      </c>
      <c r="G81" s="42" t="n">
        <f aca="false">AK81+MIN(AA81-AK81,MAX(0,'Start Here'!$B$10-SUM($AJ81:$AS81)-SUMPRODUCT(($Z$3:$AI$3&lt;AA$3)*($Z81:$AI81-$AJ81:$AS81))))</f>
        <v>0</v>
      </c>
      <c r="H81" s="42" t="n">
        <f aca="false">AL81+MIN(AB81-AL81,MAX(0,'Start Here'!$B$10-SUM($AJ81:$AS81)-SUMPRODUCT(($Z$3:$AI$3&lt;AB$3)*($Z81:$AI81-$AJ81:$AS81))))</f>
        <v>0</v>
      </c>
      <c r="I81" s="42" t="n">
        <f aca="false">AM81+MIN(AC81-AM81,MAX(0,'Start Here'!$B$10-SUM($AJ81:$AS81)-SUMPRODUCT(($Z$3:$AI$3&lt;AC$3)*($Z81:$AI81-$AJ81:$AS81))))</f>
        <v>0</v>
      </c>
      <c r="J81" s="42" t="n">
        <f aca="false">AN81+MIN(AD81-AN81,MAX(0,'Start Here'!$B$10-SUM($AJ81:$AS81)-SUMPRODUCT(($Z$3:$AI$3&lt;AD$3)*($Z81:$AI81-$AJ81:$AS81))))</f>
        <v>0</v>
      </c>
      <c r="K81" s="42" t="n">
        <f aca="false">AO81+MIN(AE81-AO81,MAX(0,'Start Here'!$B$10-SUM($AJ81:$AS81)-SUMPRODUCT(($Z$3:$AI$3&lt;AE$3)*($Z81:$AI81-$AJ81:$AS81))))</f>
        <v>0</v>
      </c>
      <c r="L81" s="42" t="n">
        <f aca="false">AP81+MIN(AF81-AP81,MAX(0,'Start Here'!$B$10-SUM($AJ81:$AS81)-SUMPRODUCT(($Z$3:$AI$3&lt;AF$3)*($Z81:$AI81-$AJ81:$AS81))))</f>
        <v>0</v>
      </c>
      <c r="M81" s="42" t="n">
        <f aca="false">AQ81+MIN(AG81-AQ81,MAX(0,'Start Here'!$B$10-SUM($AJ81:$AS81)-SUMPRODUCT(($Z$3:$AI$3&lt;AG$3)*($Z81:$AI81-$AJ81:$AS81))))</f>
        <v>0</v>
      </c>
      <c r="N81" s="42" t="n">
        <f aca="false">AR81+MIN(AH81-AR81,MAX(0,'Start Here'!$B$10-SUM($AJ81:$AS81)-SUMPRODUCT(($Z$3:$AI$3&lt;AH$3)*($Z81:$AI81-$AJ81:$AS81))))</f>
        <v>0</v>
      </c>
      <c r="O81" s="42" t="n">
        <f aca="false">AS81+MIN(AI81-AS81,MAX(0,'Start Here'!$B$10-SUM($AJ81:$AS81)-SUMPRODUCT(($Z$3:$AI$3&lt;AI$3)*($Z81:$AI81-$AJ81:$AS81))))</f>
        <v>0</v>
      </c>
      <c r="P81" s="42" t="n">
        <f aca="false">ROUND(Z81-F81,2)</f>
        <v>0</v>
      </c>
      <c r="Q81" s="42" t="n">
        <f aca="false">ROUND(AA81-G81,2)</f>
        <v>0</v>
      </c>
      <c r="R81" s="42" t="n">
        <f aca="false">ROUND(AB81-H81,2)</f>
        <v>0</v>
      </c>
      <c r="S81" s="42" t="n">
        <f aca="false">ROUND(AC81-I81,2)</f>
        <v>0</v>
      </c>
      <c r="T81" s="42" t="n">
        <f aca="false">ROUND(AD81-J81,2)</f>
        <v>0</v>
      </c>
      <c r="U81" s="42" t="n">
        <f aca="false">ROUND(AE81-K81,2)</f>
        <v>0</v>
      </c>
      <c r="V81" s="42" t="n">
        <f aca="false">ROUND(AF81-L81,2)</f>
        <v>0</v>
      </c>
      <c r="W81" s="42" t="n">
        <f aca="false">ROUND(AG81-M81,2)</f>
        <v>0</v>
      </c>
      <c r="X81" s="42" t="n">
        <f aca="false">ROUND(AH81-N81,2)</f>
        <v>0</v>
      </c>
      <c r="Y81" s="42" t="n">
        <f aca="false">ROUND(AI81-O81,2)</f>
        <v>0</v>
      </c>
      <c r="Z81" s="56" t="n">
        <f aca="false">ROUND(P80*(1+N(Debts!$D$5)/12),2)</f>
        <v>0</v>
      </c>
      <c r="AA81" s="56" t="n">
        <f aca="false">ROUND(Q80*(1+N(Debts!$D$6)/12),2)</f>
        <v>0</v>
      </c>
      <c r="AB81" s="56" t="n">
        <f aca="false">ROUND(R80*(1+N(Debts!$D$7)/12),2)</f>
        <v>0</v>
      </c>
      <c r="AC81" s="56" t="n">
        <f aca="false">ROUND(S80*(1+N(Debts!$D$8)/12),2)</f>
        <v>0</v>
      </c>
      <c r="AD81" s="56" t="n">
        <f aca="false">ROUND(T80*(1+N(Debts!$D$9)/12),2)</f>
        <v>0</v>
      </c>
      <c r="AE81" s="56" t="n">
        <f aca="false">ROUND(U80*(1+N(Debts!$D$10)/12),2)</f>
        <v>0</v>
      </c>
      <c r="AF81" s="56" t="n">
        <f aca="false">ROUND(V80*(1+N(Debts!$D$11)/12),2)</f>
        <v>0</v>
      </c>
      <c r="AG81" s="56" t="n">
        <f aca="false">ROUND(W80*(1+N(Debts!$D$12)/12),2)</f>
        <v>0</v>
      </c>
      <c r="AH81" s="56" t="n">
        <f aca="false">ROUND(X80*(1+N(Debts!$D$13)/12),2)</f>
        <v>0</v>
      </c>
      <c r="AI81" s="56" t="n">
        <f aca="false">ROUND(Y80*(1+N(Debts!$D$14)/12),2)</f>
        <v>0</v>
      </c>
      <c r="AJ81" s="56" t="n">
        <f aca="false">MIN(Z81,MAX(0,N(Debts!$E$5)))</f>
        <v>0</v>
      </c>
      <c r="AK81" s="56" t="n">
        <f aca="false">MIN(AA81,MAX(0,N(Debts!$E$6)))</f>
        <v>0</v>
      </c>
      <c r="AL81" s="56" t="n">
        <f aca="false">MIN(AB81,MAX(0,N(Debts!$E$7)))</f>
        <v>0</v>
      </c>
      <c r="AM81" s="56" t="n">
        <f aca="false">MIN(AC81,MAX(0,N(Debts!$E$8)))</f>
        <v>0</v>
      </c>
      <c r="AN81" s="56" t="n">
        <f aca="false">MIN(AD81,MAX(0,N(Debts!$E$9)))</f>
        <v>0</v>
      </c>
      <c r="AO81" s="56" t="n">
        <f aca="false">MIN(AE81,MAX(0,N(Debts!$E$10)))</f>
        <v>0</v>
      </c>
      <c r="AP81" s="56" t="n">
        <f aca="false">MIN(AF81,MAX(0,N(Debts!$E$11)))</f>
        <v>0</v>
      </c>
      <c r="AQ81" s="56" t="n">
        <f aca="false">MIN(AG81,MAX(0,N(Debts!$E$12)))</f>
        <v>0</v>
      </c>
      <c r="AR81" s="56" t="n">
        <f aca="false">MIN(AH81,MAX(0,N(Debts!$E$13)))</f>
        <v>0</v>
      </c>
      <c r="AS81" s="56" t="n">
        <f aca="false">MIN(AI81,MAX(0,N(Debts!$E$14)))</f>
        <v>0</v>
      </c>
    </row>
    <row r="82" customFormat="false" ht="15" hidden="false" customHeight="false" outlineLevel="0" collapsed="false">
      <c r="A82" s="53" t="n">
        <v>78</v>
      </c>
      <c r="B82" s="54" t="n">
        <f aca="false">EDATE('Start Here'!$B$8,77)</f>
        <v>48670</v>
      </c>
      <c r="C82" s="42" t="n">
        <f aca="false">SUM(F82:O82)</f>
        <v>0</v>
      </c>
      <c r="D82" s="42" t="n">
        <f aca="false">ROUND(SUM($Z82:$AI82)-SUM(P81:Y81),2)</f>
        <v>0</v>
      </c>
      <c r="E82" s="55" t="n">
        <f aca="false">SUM(P82:Y82)</f>
        <v>0</v>
      </c>
      <c r="F82" s="42" t="n">
        <f aca="false">AJ82+MIN(Z82-AJ82,MAX(0,'Start Here'!$B$10-SUM($AJ82:$AS82)-SUMPRODUCT(($Z$3:$AI$3&lt;Z$3)*($Z82:$AI82-$AJ82:$AS82))))</f>
        <v>0</v>
      </c>
      <c r="G82" s="42" t="n">
        <f aca="false">AK82+MIN(AA82-AK82,MAX(0,'Start Here'!$B$10-SUM($AJ82:$AS82)-SUMPRODUCT(($Z$3:$AI$3&lt;AA$3)*($Z82:$AI82-$AJ82:$AS82))))</f>
        <v>0</v>
      </c>
      <c r="H82" s="42" t="n">
        <f aca="false">AL82+MIN(AB82-AL82,MAX(0,'Start Here'!$B$10-SUM($AJ82:$AS82)-SUMPRODUCT(($Z$3:$AI$3&lt;AB$3)*($Z82:$AI82-$AJ82:$AS82))))</f>
        <v>0</v>
      </c>
      <c r="I82" s="42" t="n">
        <f aca="false">AM82+MIN(AC82-AM82,MAX(0,'Start Here'!$B$10-SUM($AJ82:$AS82)-SUMPRODUCT(($Z$3:$AI$3&lt;AC$3)*($Z82:$AI82-$AJ82:$AS82))))</f>
        <v>0</v>
      </c>
      <c r="J82" s="42" t="n">
        <f aca="false">AN82+MIN(AD82-AN82,MAX(0,'Start Here'!$B$10-SUM($AJ82:$AS82)-SUMPRODUCT(($Z$3:$AI$3&lt;AD$3)*($Z82:$AI82-$AJ82:$AS82))))</f>
        <v>0</v>
      </c>
      <c r="K82" s="42" t="n">
        <f aca="false">AO82+MIN(AE82-AO82,MAX(0,'Start Here'!$B$10-SUM($AJ82:$AS82)-SUMPRODUCT(($Z$3:$AI$3&lt;AE$3)*($Z82:$AI82-$AJ82:$AS82))))</f>
        <v>0</v>
      </c>
      <c r="L82" s="42" t="n">
        <f aca="false">AP82+MIN(AF82-AP82,MAX(0,'Start Here'!$B$10-SUM($AJ82:$AS82)-SUMPRODUCT(($Z$3:$AI$3&lt;AF$3)*($Z82:$AI82-$AJ82:$AS82))))</f>
        <v>0</v>
      </c>
      <c r="M82" s="42" t="n">
        <f aca="false">AQ82+MIN(AG82-AQ82,MAX(0,'Start Here'!$B$10-SUM($AJ82:$AS82)-SUMPRODUCT(($Z$3:$AI$3&lt;AG$3)*($Z82:$AI82-$AJ82:$AS82))))</f>
        <v>0</v>
      </c>
      <c r="N82" s="42" t="n">
        <f aca="false">AR82+MIN(AH82-AR82,MAX(0,'Start Here'!$B$10-SUM($AJ82:$AS82)-SUMPRODUCT(($Z$3:$AI$3&lt;AH$3)*($Z82:$AI82-$AJ82:$AS82))))</f>
        <v>0</v>
      </c>
      <c r="O82" s="42" t="n">
        <f aca="false">AS82+MIN(AI82-AS82,MAX(0,'Start Here'!$B$10-SUM($AJ82:$AS82)-SUMPRODUCT(($Z$3:$AI$3&lt;AI$3)*($Z82:$AI82-$AJ82:$AS82))))</f>
        <v>0</v>
      </c>
      <c r="P82" s="42" t="n">
        <f aca="false">ROUND(Z82-F82,2)</f>
        <v>0</v>
      </c>
      <c r="Q82" s="42" t="n">
        <f aca="false">ROUND(AA82-G82,2)</f>
        <v>0</v>
      </c>
      <c r="R82" s="42" t="n">
        <f aca="false">ROUND(AB82-H82,2)</f>
        <v>0</v>
      </c>
      <c r="S82" s="42" t="n">
        <f aca="false">ROUND(AC82-I82,2)</f>
        <v>0</v>
      </c>
      <c r="T82" s="42" t="n">
        <f aca="false">ROUND(AD82-J82,2)</f>
        <v>0</v>
      </c>
      <c r="U82" s="42" t="n">
        <f aca="false">ROUND(AE82-K82,2)</f>
        <v>0</v>
      </c>
      <c r="V82" s="42" t="n">
        <f aca="false">ROUND(AF82-L82,2)</f>
        <v>0</v>
      </c>
      <c r="W82" s="42" t="n">
        <f aca="false">ROUND(AG82-M82,2)</f>
        <v>0</v>
      </c>
      <c r="X82" s="42" t="n">
        <f aca="false">ROUND(AH82-N82,2)</f>
        <v>0</v>
      </c>
      <c r="Y82" s="42" t="n">
        <f aca="false">ROUND(AI82-O82,2)</f>
        <v>0</v>
      </c>
      <c r="Z82" s="56" t="n">
        <f aca="false">ROUND(P81*(1+N(Debts!$D$5)/12),2)</f>
        <v>0</v>
      </c>
      <c r="AA82" s="56" t="n">
        <f aca="false">ROUND(Q81*(1+N(Debts!$D$6)/12),2)</f>
        <v>0</v>
      </c>
      <c r="AB82" s="56" t="n">
        <f aca="false">ROUND(R81*(1+N(Debts!$D$7)/12),2)</f>
        <v>0</v>
      </c>
      <c r="AC82" s="56" t="n">
        <f aca="false">ROUND(S81*(1+N(Debts!$D$8)/12),2)</f>
        <v>0</v>
      </c>
      <c r="AD82" s="56" t="n">
        <f aca="false">ROUND(T81*(1+N(Debts!$D$9)/12),2)</f>
        <v>0</v>
      </c>
      <c r="AE82" s="56" t="n">
        <f aca="false">ROUND(U81*(1+N(Debts!$D$10)/12),2)</f>
        <v>0</v>
      </c>
      <c r="AF82" s="56" t="n">
        <f aca="false">ROUND(V81*(1+N(Debts!$D$11)/12),2)</f>
        <v>0</v>
      </c>
      <c r="AG82" s="56" t="n">
        <f aca="false">ROUND(W81*(1+N(Debts!$D$12)/12),2)</f>
        <v>0</v>
      </c>
      <c r="AH82" s="56" t="n">
        <f aca="false">ROUND(X81*(1+N(Debts!$D$13)/12),2)</f>
        <v>0</v>
      </c>
      <c r="AI82" s="56" t="n">
        <f aca="false">ROUND(Y81*(1+N(Debts!$D$14)/12),2)</f>
        <v>0</v>
      </c>
      <c r="AJ82" s="56" t="n">
        <f aca="false">MIN(Z82,MAX(0,N(Debts!$E$5)))</f>
        <v>0</v>
      </c>
      <c r="AK82" s="56" t="n">
        <f aca="false">MIN(AA82,MAX(0,N(Debts!$E$6)))</f>
        <v>0</v>
      </c>
      <c r="AL82" s="56" t="n">
        <f aca="false">MIN(AB82,MAX(0,N(Debts!$E$7)))</f>
        <v>0</v>
      </c>
      <c r="AM82" s="56" t="n">
        <f aca="false">MIN(AC82,MAX(0,N(Debts!$E$8)))</f>
        <v>0</v>
      </c>
      <c r="AN82" s="56" t="n">
        <f aca="false">MIN(AD82,MAX(0,N(Debts!$E$9)))</f>
        <v>0</v>
      </c>
      <c r="AO82" s="56" t="n">
        <f aca="false">MIN(AE82,MAX(0,N(Debts!$E$10)))</f>
        <v>0</v>
      </c>
      <c r="AP82" s="56" t="n">
        <f aca="false">MIN(AF82,MAX(0,N(Debts!$E$11)))</f>
        <v>0</v>
      </c>
      <c r="AQ82" s="56" t="n">
        <f aca="false">MIN(AG82,MAX(0,N(Debts!$E$12)))</f>
        <v>0</v>
      </c>
      <c r="AR82" s="56" t="n">
        <f aca="false">MIN(AH82,MAX(0,N(Debts!$E$13)))</f>
        <v>0</v>
      </c>
      <c r="AS82" s="56" t="n">
        <f aca="false">MIN(AI82,MAX(0,N(Debts!$E$14)))</f>
        <v>0</v>
      </c>
    </row>
    <row r="83" customFormat="false" ht="15" hidden="false" customHeight="false" outlineLevel="0" collapsed="false">
      <c r="A83" s="53" t="n">
        <v>79</v>
      </c>
      <c r="B83" s="54" t="n">
        <f aca="false">EDATE('Start Here'!$B$8,78)</f>
        <v>48700</v>
      </c>
      <c r="C83" s="42" t="n">
        <f aca="false">SUM(F83:O83)</f>
        <v>0</v>
      </c>
      <c r="D83" s="42" t="n">
        <f aca="false">ROUND(SUM($Z83:$AI83)-SUM(P82:Y82),2)</f>
        <v>0</v>
      </c>
      <c r="E83" s="55" t="n">
        <f aca="false">SUM(P83:Y83)</f>
        <v>0</v>
      </c>
      <c r="F83" s="42" t="n">
        <f aca="false">AJ83+MIN(Z83-AJ83,MAX(0,'Start Here'!$B$10-SUM($AJ83:$AS83)-SUMPRODUCT(($Z$3:$AI$3&lt;Z$3)*($Z83:$AI83-$AJ83:$AS83))))</f>
        <v>0</v>
      </c>
      <c r="G83" s="42" t="n">
        <f aca="false">AK83+MIN(AA83-AK83,MAX(0,'Start Here'!$B$10-SUM($AJ83:$AS83)-SUMPRODUCT(($Z$3:$AI$3&lt;AA$3)*($Z83:$AI83-$AJ83:$AS83))))</f>
        <v>0</v>
      </c>
      <c r="H83" s="42" t="n">
        <f aca="false">AL83+MIN(AB83-AL83,MAX(0,'Start Here'!$B$10-SUM($AJ83:$AS83)-SUMPRODUCT(($Z$3:$AI$3&lt;AB$3)*($Z83:$AI83-$AJ83:$AS83))))</f>
        <v>0</v>
      </c>
      <c r="I83" s="42" t="n">
        <f aca="false">AM83+MIN(AC83-AM83,MAX(0,'Start Here'!$B$10-SUM($AJ83:$AS83)-SUMPRODUCT(($Z$3:$AI$3&lt;AC$3)*($Z83:$AI83-$AJ83:$AS83))))</f>
        <v>0</v>
      </c>
      <c r="J83" s="42" t="n">
        <f aca="false">AN83+MIN(AD83-AN83,MAX(0,'Start Here'!$B$10-SUM($AJ83:$AS83)-SUMPRODUCT(($Z$3:$AI$3&lt;AD$3)*($Z83:$AI83-$AJ83:$AS83))))</f>
        <v>0</v>
      </c>
      <c r="K83" s="42" t="n">
        <f aca="false">AO83+MIN(AE83-AO83,MAX(0,'Start Here'!$B$10-SUM($AJ83:$AS83)-SUMPRODUCT(($Z$3:$AI$3&lt;AE$3)*($Z83:$AI83-$AJ83:$AS83))))</f>
        <v>0</v>
      </c>
      <c r="L83" s="42" t="n">
        <f aca="false">AP83+MIN(AF83-AP83,MAX(0,'Start Here'!$B$10-SUM($AJ83:$AS83)-SUMPRODUCT(($Z$3:$AI$3&lt;AF$3)*($Z83:$AI83-$AJ83:$AS83))))</f>
        <v>0</v>
      </c>
      <c r="M83" s="42" t="n">
        <f aca="false">AQ83+MIN(AG83-AQ83,MAX(0,'Start Here'!$B$10-SUM($AJ83:$AS83)-SUMPRODUCT(($Z$3:$AI$3&lt;AG$3)*($Z83:$AI83-$AJ83:$AS83))))</f>
        <v>0</v>
      </c>
      <c r="N83" s="42" t="n">
        <f aca="false">AR83+MIN(AH83-AR83,MAX(0,'Start Here'!$B$10-SUM($AJ83:$AS83)-SUMPRODUCT(($Z$3:$AI$3&lt;AH$3)*($Z83:$AI83-$AJ83:$AS83))))</f>
        <v>0</v>
      </c>
      <c r="O83" s="42" t="n">
        <f aca="false">AS83+MIN(AI83-AS83,MAX(0,'Start Here'!$B$10-SUM($AJ83:$AS83)-SUMPRODUCT(($Z$3:$AI$3&lt;AI$3)*($Z83:$AI83-$AJ83:$AS83))))</f>
        <v>0</v>
      </c>
      <c r="P83" s="42" t="n">
        <f aca="false">ROUND(Z83-F83,2)</f>
        <v>0</v>
      </c>
      <c r="Q83" s="42" t="n">
        <f aca="false">ROUND(AA83-G83,2)</f>
        <v>0</v>
      </c>
      <c r="R83" s="42" t="n">
        <f aca="false">ROUND(AB83-H83,2)</f>
        <v>0</v>
      </c>
      <c r="S83" s="42" t="n">
        <f aca="false">ROUND(AC83-I83,2)</f>
        <v>0</v>
      </c>
      <c r="T83" s="42" t="n">
        <f aca="false">ROUND(AD83-J83,2)</f>
        <v>0</v>
      </c>
      <c r="U83" s="42" t="n">
        <f aca="false">ROUND(AE83-K83,2)</f>
        <v>0</v>
      </c>
      <c r="V83" s="42" t="n">
        <f aca="false">ROUND(AF83-L83,2)</f>
        <v>0</v>
      </c>
      <c r="W83" s="42" t="n">
        <f aca="false">ROUND(AG83-M83,2)</f>
        <v>0</v>
      </c>
      <c r="X83" s="42" t="n">
        <f aca="false">ROUND(AH83-N83,2)</f>
        <v>0</v>
      </c>
      <c r="Y83" s="42" t="n">
        <f aca="false">ROUND(AI83-O83,2)</f>
        <v>0</v>
      </c>
      <c r="Z83" s="56" t="n">
        <f aca="false">ROUND(P82*(1+N(Debts!$D$5)/12),2)</f>
        <v>0</v>
      </c>
      <c r="AA83" s="56" t="n">
        <f aca="false">ROUND(Q82*(1+N(Debts!$D$6)/12),2)</f>
        <v>0</v>
      </c>
      <c r="AB83" s="56" t="n">
        <f aca="false">ROUND(R82*(1+N(Debts!$D$7)/12),2)</f>
        <v>0</v>
      </c>
      <c r="AC83" s="56" t="n">
        <f aca="false">ROUND(S82*(1+N(Debts!$D$8)/12),2)</f>
        <v>0</v>
      </c>
      <c r="AD83" s="56" t="n">
        <f aca="false">ROUND(T82*(1+N(Debts!$D$9)/12),2)</f>
        <v>0</v>
      </c>
      <c r="AE83" s="56" t="n">
        <f aca="false">ROUND(U82*(1+N(Debts!$D$10)/12),2)</f>
        <v>0</v>
      </c>
      <c r="AF83" s="56" t="n">
        <f aca="false">ROUND(V82*(1+N(Debts!$D$11)/12),2)</f>
        <v>0</v>
      </c>
      <c r="AG83" s="56" t="n">
        <f aca="false">ROUND(W82*(1+N(Debts!$D$12)/12),2)</f>
        <v>0</v>
      </c>
      <c r="AH83" s="56" t="n">
        <f aca="false">ROUND(X82*(1+N(Debts!$D$13)/12),2)</f>
        <v>0</v>
      </c>
      <c r="AI83" s="56" t="n">
        <f aca="false">ROUND(Y82*(1+N(Debts!$D$14)/12),2)</f>
        <v>0</v>
      </c>
      <c r="AJ83" s="56" t="n">
        <f aca="false">MIN(Z83,MAX(0,N(Debts!$E$5)))</f>
        <v>0</v>
      </c>
      <c r="AK83" s="56" t="n">
        <f aca="false">MIN(AA83,MAX(0,N(Debts!$E$6)))</f>
        <v>0</v>
      </c>
      <c r="AL83" s="56" t="n">
        <f aca="false">MIN(AB83,MAX(0,N(Debts!$E$7)))</f>
        <v>0</v>
      </c>
      <c r="AM83" s="56" t="n">
        <f aca="false">MIN(AC83,MAX(0,N(Debts!$E$8)))</f>
        <v>0</v>
      </c>
      <c r="AN83" s="56" t="n">
        <f aca="false">MIN(AD83,MAX(0,N(Debts!$E$9)))</f>
        <v>0</v>
      </c>
      <c r="AO83" s="56" t="n">
        <f aca="false">MIN(AE83,MAX(0,N(Debts!$E$10)))</f>
        <v>0</v>
      </c>
      <c r="AP83" s="56" t="n">
        <f aca="false">MIN(AF83,MAX(0,N(Debts!$E$11)))</f>
        <v>0</v>
      </c>
      <c r="AQ83" s="56" t="n">
        <f aca="false">MIN(AG83,MAX(0,N(Debts!$E$12)))</f>
        <v>0</v>
      </c>
      <c r="AR83" s="56" t="n">
        <f aca="false">MIN(AH83,MAX(0,N(Debts!$E$13)))</f>
        <v>0</v>
      </c>
      <c r="AS83" s="56" t="n">
        <f aca="false">MIN(AI83,MAX(0,N(Debts!$E$14)))</f>
        <v>0</v>
      </c>
    </row>
    <row r="84" customFormat="false" ht="15" hidden="false" customHeight="false" outlineLevel="0" collapsed="false">
      <c r="A84" s="53" t="n">
        <v>80</v>
      </c>
      <c r="B84" s="54" t="n">
        <f aca="false">EDATE('Start Here'!$B$8,79)</f>
        <v>48731</v>
      </c>
      <c r="C84" s="42" t="n">
        <f aca="false">SUM(F84:O84)</f>
        <v>0</v>
      </c>
      <c r="D84" s="42" t="n">
        <f aca="false">ROUND(SUM($Z84:$AI84)-SUM(P83:Y83),2)</f>
        <v>0</v>
      </c>
      <c r="E84" s="55" t="n">
        <f aca="false">SUM(P84:Y84)</f>
        <v>0</v>
      </c>
      <c r="F84" s="42" t="n">
        <f aca="false">AJ84+MIN(Z84-AJ84,MAX(0,'Start Here'!$B$10-SUM($AJ84:$AS84)-SUMPRODUCT(($Z$3:$AI$3&lt;Z$3)*($Z84:$AI84-$AJ84:$AS84))))</f>
        <v>0</v>
      </c>
      <c r="G84" s="42" t="n">
        <f aca="false">AK84+MIN(AA84-AK84,MAX(0,'Start Here'!$B$10-SUM($AJ84:$AS84)-SUMPRODUCT(($Z$3:$AI$3&lt;AA$3)*($Z84:$AI84-$AJ84:$AS84))))</f>
        <v>0</v>
      </c>
      <c r="H84" s="42" t="n">
        <f aca="false">AL84+MIN(AB84-AL84,MAX(0,'Start Here'!$B$10-SUM($AJ84:$AS84)-SUMPRODUCT(($Z$3:$AI$3&lt;AB$3)*($Z84:$AI84-$AJ84:$AS84))))</f>
        <v>0</v>
      </c>
      <c r="I84" s="42" t="n">
        <f aca="false">AM84+MIN(AC84-AM84,MAX(0,'Start Here'!$B$10-SUM($AJ84:$AS84)-SUMPRODUCT(($Z$3:$AI$3&lt;AC$3)*($Z84:$AI84-$AJ84:$AS84))))</f>
        <v>0</v>
      </c>
      <c r="J84" s="42" t="n">
        <f aca="false">AN84+MIN(AD84-AN84,MAX(0,'Start Here'!$B$10-SUM($AJ84:$AS84)-SUMPRODUCT(($Z$3:$AI$3&lt;AD$3)*($Z84:$AI84-$AJ84:$AS84))))</f>
        <v>0</v>
      </c>
      <c r="K84" s="42" t="n">
        <f aca="false">AO84+MIN(AE84-AO84,MAX(0,'Start Here'!$B$10-SUM($AJ84:$AS84)-SUMPRODUCT(($Z$3:$AI$3&lt;AE$3)*($Z84:$AI84-$AJ84:$AS84))))</f>
        <v>0</v>
      </c>
      <c r="L84" s="42" t="n">
        <f aca="false">AP84+MIN(AF84-AP84,MAX(0,'Start Here'!$B$10-SUM($AJ84:$AS84)-SUMPRODUCT(($Z$3:$AI$3&lt;AF$3)*($Z84:$AI84-$AJ84:$AS84))))</f>
        <v>0</v>
      </c>
      <c r="M84" s="42" t="n">
        <f aca="false">AQ84+MIN(AG84-AQ84,MAX(0,'Start Here'!$B$10-SUM($AJ84:$AS84)-SUMPRODUCT(($Z$3:$AI$3&lt;AG$3)*($Z84:$AI84-$AJ84:$AS84))))</f>
        <v>0</v>
      </c>
      <c r="N84" s="42" t="n">
        <f aca="false">AR84+MIN(AH84-AR84,MAX(0,'Start Here'!$B$10-SUM($AJ84:$AS84)-SUMPRODUCT(($Z$3:$AI$3&lt;AH$3)*($Z84:$AI84-$AJ84:$AS84))))</f>
        <v>0</v>
      </c>
      <c r="O84" s="42" t="n">
        <f aca="false">AS84+MIN(AI84-AS84,MAX(0,'Start Here'!$B$10-SUM($AJ84:$AS84)-SUMPRODUCT(($Z$3:$AI$3&lt;AI$3)*($Z84:$AI84-$AJ84:$AS84))))</f>
        <v>0</v>
      </c>
      <c r="P84" s="42" t="n">
        <f aca="false">ROUND(Z84-F84,2)</f>
        <v>0</v>
      </c>
      <c r="Q84" s="42" t="n">
        <f aca="false">ROUND(AA84-G84,2)</f>
        <v>0</v>
      </c>
      <c r="R84" s="42" t="n">
        <f aca="false">ROUND(AB84-H84,2)</f>
        <v>0</v>
      </c>
      <c r="S84" s="42" t="n">
        <f aca="false">ROUND(AC84-I84,2)</f>
        <v>0</v>
      </c>
      <c r="T84" s="42" t="n">
        <f aca="false">ROUND(AD84-J84,2)</f>
        <v>0</v>
      </c>
      <c r="U84" s="42" t="n">
        <f aca="false">ROUND(AE84-K84,2)</f>
        <v>0</v>
      </c>
      <c r="V84" s="42" t="n">
        <f aca="false">ROUND(AF84-L84,2)</f>
        <v>0</v>
      </c>
      <c r="W84" s="42" t="n">
        <f aca="false">ROUND(AG84-M84,2)</f>
        <v>0</v>
      </c>
      <c r="X84" s="42" t="n">
        <f aca="false">ROUND(AH84-N84,2)</f>
        <v>0</v>
      </c>
      <c r="Y84" s="42" t="n">
        <f aca="false">ROUND(AI84-O84,2)</f>
        <v>0</v>
      </c>
      <c r="Z84" s="56" t="n">
        <f aca="false">ROUND(P83*(1+N(Debts!$D$5)/12),2)</f>
        <v>0</v>
      </c>
      <c r="AA84" s="56" t="n">
        <f aca="false">ROUND(Q83*(1+N(Debts!$D$6)/12),2)</f>
        <v>0</v>
      </c>
      <c r="AB84" s="56" t="n">
        <f aca="false">ROUND(R83*(1+N(Debts!$D$7)/12),2)</f>
        <v>0</v>
      </c>
      <c r="AC84" s="56" t="n">
        <f aca="false">ROUND(S83*(1+N(Debts!$D$8)/12),2)</f>
        <v>0</v>
      </c>
      <c r="AD84" s="56" t="n">
        <f aca="false">ROUND(T83*(1+N(Debts!$D$9)/12),2)</f>
        <v>0</v>
      </c>
      <c r="AE84" s="56" t="n">
        <f aca="false">ROUND(U83*(1+N(Debts!$D$10)/12),2)</f>
        <v>0</v>
      </c>
      <c r="AF84" s="56" t="n">
        <f aca="false">ROUND(V83*(1+N(Debts!$D$11)/12),2)</f>
        <v>0</v>
      </c>
      <c r="AG84" s="56" t="n">
        <f aca="false">ROUND(W83*(1+N(Debts!$D$12)/12),2)</f>
        <v>0</v>
      </c>
      <c r="AH84" s="56" t="n">
        <f aca="false">ROUND(X83*(1+N(Debts!$D$13)/12),2)</f>
        <v>0</v>
      </c>
      <c r="AI84" s="56" t="n">
        <f aca="false">ROUND(Y83*(1+N(Debts!$D$14)/12),2)</f>
        <v>0</v>
      </c>
      <c r="AJ84" s="56" t="n">
        <f aca="false">MIN(Z84,MAX(0,N(Debts!$E$5)))</f>
        <v>0</v>
      </c>
      <c r="AK84" s="56" t="n">
        <f aca="false">MIN(AA84,MAX(0,N(Debts!$E$6)))</f>
        <v>0</v>
      </c>
      <c r="AL84" s="56" t="n">
        <f aca="false">MIN(AB84,MAX(0,N(Debts!$E$7)))</f>
        <v>0</v>
      </c>
      <c r="AM84" s="56" t="n">
        <f aca="false">MIN(AC84,MAX(0,N(Debts!$E$8)))</f>
        <v>0</v>
      </c>
      <c r="AN84" s="56" t="n">
        <f aca="false">MIN(AD84,MAX(0,N(Debts!$E$9)))</f>
        <v>0</v>
      </c>
      <c r="AO84" s="56" t="n">
        <f aca="false">MIN(AE84,MAX(0,N(Debts!$E$10)))</f>
        <v>0</v>
      </c>
      <c r="AP84" s="56" t="n">
        <f aca="false">MIN(AF84,MAX(0,N(Debts!$E$11)))</f>
        <v>0</v>
      </c>
      <c r="AQ84" s="56" t="n">
        <f aca="false">MIN(AG84,MAX(0,N(Debts!$E$12)))</f>
        <v>0</v>
      </c>
      <c r="AR84" s="56" t="n">
        <f aca="false">MIN(AH84,MAX(0,N(Debts!$E$13)))</f>
        <v>0</v>
      </c>
      <c r="AS84" s="56" t="n">
        <f aca="false">MIN(AI84,MAX(0,N(Debts!$E$14)))</f>
        <v>0</v>
      </c>
    </row>
    <row r="85" customFormat="false" ht="15" hidden="false" customHeight="false" outlineLevel="0" collapsed="false">
      <c r="A85" s="53" t="n">
        <v>81</v>
      </c>
      <c r="B85" s="54" t="n">
        <f aca="false">EDATE('Start Here'!$B$8,80)</f>
        <v>48761</v>
      </c>
      <c r="C85" s="42" t="n">
        <f aca="false">SUM(F85:O85)</f>
        <v>0</v>
      </c>
      <c r="D85" s="42" t="n">
        <f aca="false">ROUND(SUM($Z85:$AI85)-SUM(P84:Y84),2)</f>
        <v>0</v>
      </c>
      <c r="E85" s="55" t="n">
        <f aca="false">SUM(P85:Y85)</f>
        <v>0</v>
      </c>
      <c r="F85" s="42" t="n">
        <f aca="false">AJ85+MIN(Z85-AJ85,MAX(0,'Start Here'!$B$10-SUM($AJ85:$AS85)-SUMPRODUCT(($Z$3:$AI$3&lt;Z$3)*($Z85:$AI85-$AJ85:$AS85))))</f>
        <v>0</v>
      </c>
      <c r="G85" s="42" t="n">
        <f aca="false">AK85+MIN(AA85-AK85,MAX(0,'Start Here'!$B$10-SUM($AJ85:$AS85)-SUMPRODUCT(($Z$3:$AI$3&lt;AA$3)*($Z85:$AI85-$AJ85:$AS85))))</f>
        <v>0</v>
      </c>
      <c r="H85" s="42" t="n">
        <f aca="false">AL85+MIN(AB85-AL85,MAX(0,'Start Here'!$B$10-SUM($AJ85:$AS85)-SUMPRODUCT(($Z$3:$AI$3&lt;AB$3)*($Z85:$AI85-$AJ85:$AS85))))</f>
        <v>0</v>
      </c>
      <c r="I85" s="42" t="n">
        <f aca="false">AM85+MIN(AC85-AM85,MAX(0,'Start Here'!$B$10-SUM($AJ85:$AS85)-SUMPRODUCT(($Z$3:$AI$3&lt;AC$3)*($Z85:$AI85-$AJ85:$AS85))))</f>
        <v>0</v>
      </c>
      <c r="J85" s="42" t="n">
        <f aca="false">AN85+MIN(AD85-AN85,MAX(0,'Start Here'!$B$10-SUM($AJ85:$AS85)-SUMPRODUCT(($Z$3:$AI$3&lt;AD$3)*($Z85:$AI85-$AJ85:$AS85))))</f>
        <v>0</v>
      </c>
      <c r="K85" s="42" t="n">
        <f aca="false">AO85+MIN(AE85-AO85,MAX(0,'Start Here'!$B$10-SUM($AJ85:$AS85)-SUMPRODUCT(($Z$3:$AI$3&lt;AE$3)*($Z85:$AI85-$AJ85:$AS85))))</f>
        <v>0</v>
      </c>
      <c r="L85" s="42" t="n">
        <f aca="false">AP85+MIN(AF85-AP85,MAX(0,'Start Here'!$B$10-SUM($AJ85:$AS85)-SUMPRODUCT(($Z$3:$AI$3&lt;AF$3)*($Z85:$AI85-$AJ85:$AS85))))</f>
        <v>0</v>
      </c>
      <c r="M85" s="42" t="n">
        <f aca="false">AQ85+MIN(AG85-AQ85,MAX(0,'Start Here'!$B$10-SUM($AJ85:$AS85)-SUMPRODUCT(($Z$3:$AI$3&lt;AG$3)*($Z85:$AI85-$AJ85:$AS85))))</f>
        <v>0</v>
      </c>
      <c r="N85" s="42" t="n">
        <f aca="false">AR85+MIN(AH85-AR85,MAX(0,'Start Here'!$B$10-SUM($AJ85:$AS85)-SUMPRODUCT(($Z$3:$AI$3&lt;AH$3)*($Z85:$AI85-$AJ85:$AS85))))</f>
        <v>0</v>
      </c>
      <c r="O85" s="42" t="n">
        <f aca="false">AS85+MIN(AI85-AS85,MAX(0,'Start Here'!$B$10-SUM($AJ85:$AS85)-SUMPRODUCT(($Z$3:$AI$3&lt;AI$3)*($Z85:$AI85-$AJ85:$AS85))))</f>
        <v>0</v>
      </c>
      <c r="P85" s="42" t="n">
        <f aca="false">ROUND(Z85-F85,2)</f>
        <v>0</v>
      </c>
      <c r="Q85" s="42" t="n">
        <f aca="false">ROUND(AA85-G85,2)</f>
        <v>0</v>
      </c>
      <c r="R85" s="42" t="n">
        <f aca="false">ROUND(AB85-H85,2)</f>
        <v>0</v>
      </c>
      <c r="S85" s="42" t="n">
        <f aca="false">ROUND(AC85-I85,2)</f>
        <v>0</v>
      </c>
      <c r="T85" s="42" t="n">
        <f aca="false">ROUND(AD85-J85,2)</f>
        <v>0</v>
      </c>
      <c r="U85" s="42" t="n">
        <f aca="false">ROUND(AE85-K85,2)</f>
        <v>0</v>
      </c>
      <c r="V85" s="42" t="n">
        <f aca="false">ROUND(AF85-L85,2)</f>
        <v>0</v>
      </c>
      <c r="W85" s="42" t="n">
        <f aca="false">ROUND(AG85-M85,2)</f>
        <v>0</v>
      </c>
      <c r="X85" s="42" t="n">
        <f aca="false">ROUND(AH85-N85,2)</f>
        <v>0</v>
      </c>
      <c r="Y85" s="42" t="n">
        <f aca="false">ROUND(AI85-O85,2)</f>
        <v>0</v>
      </c>
      <c r="Z85" s="56" t="n">
        <f aca="false">ROUND(P84*(1+N(Debts!$D$5)/12),2)</f>
        <v>0</v>
      </c>
      <c r="AA85" s="56" t="n">
        <f aca="false">ROUND(Q84*(1+N(Debts!$D$6)/12),2)</f>
        <v>0</v>
      </c>
      <c r="AB85" s="56" t="n">
        <f aca="false">ROUND(R84*(1+N(Debts!$D$7)/12),2)</f>
        <v>0</v>
      </c>
      <c r="AC85" s="56" t="n">
        <f aca="false">ROUND(S84*(1+N(Debts!$D$8)/12),2)</f>
        <v>0</v>
      </c>
      <c r="AD85" s="56" t="n">
        <f aca="false">ROUND(T84*(1+N(Debts!$D$9)/12),2)</f>
        <v>0</v>
      </c>
      <c r="AE85" s="56" t="n">
        <f aca="false">ROUND(U84*(1+N(Debts!$D$10)/12),2)</f>
        <v>0</v>
      </c>
      <c r="AF85" s="56" t="n">
        <f aca="false">ROUND(V84*(1+N(Debts!$D$11)/12),2)</f>
        <v>0</v>
      </c>
      <c r="AG85" s="56" t="n">
        <f aca="false">ROUND(W84*(1+N(Debts!$D$12)/12),2)</f>
        <v>0</v>
      </c>
      <c r="AH85" s="56" t="n">
        <f aca="false">ROUND(X84*(1+N(Debts!$D$13)/12),2)</f>
        <v>0</v>
      </c>
      <c r="AI85" s="56" t="n">
        <f aca="false">ROUND(Y84*(1+N(Debts!$D$14)/12),2)</f>
        <v>0</v>
      </c>
      <c r="AJ85" s="56" t="n">
        <f aca="false">MIN(Z85,MAX(0,N(Debts!$E$5)))</f>
        <v>0</v>
      </c>
      <c r="AK85" s="56" t="n">
        <f aca="false">MIN(AA85,MAX(0,N(Debts!$E$6)))</f>
        <v>0</v>
      </c>
      <c r="AL85" s="56" t="n">
        <f aca="false">MIN(AB85,MAX(0,N(Debts!$E$7)))</f>
        <v>0</v>
      </c>
      <c r="AM85" s="56" t="n">
        <f aca="false">MIN(AC85,MAX(0,N(Debts!$E$8)))</f>
        <v>0</v>
      </c>
      <c r="AN85" s="56" t="n">
        <f aca="false">MIN(AD85,MAX(0,N(Debts!$E$9)))</f>
        <v>0</v>
      </c>
      <c r="AO85" s="56" t="n">
        <f aca="false">MIN(AE85,MAX(0,N(Debts!$E$10)))</f>
        <v>0</v>
      </c>
      <c r="AP85" s="56" t="n">
        <f aca="false">MIN(AF85,MAX(0,N(Debts!$E$11)))</f>
        <v>0</v>
      </c>
      <c r="AQ85" s="56" t="n">
        <f aca="false">MIN(AG85,MAX(0,N(Debts!$E$12)))</f>
        <v>0</v>
      </c>
      <c r="AR85" s="56" t="n">
        <f aca="false">MIN(AH85,MAX(0,N(Debts!$E$13)))</f>
        <v>0</v>
      </c>
      <c r="AS85" s="56" t="n">
        <f aca="false">MIN(AI85,MAX(0,N(Debts!$E$14)))</f>
        <v>0</v>
      </c>
    </row>
    <row r="86" customFormat="false" ht="15" hidden="false" customHeight="false" outlineLevel="0" collapsed="false">
      <c r="A86" s="53" t="n">
        <v>82</v>
      </c>
      <c r="B86" s="54" t="n">
        <f aca="false">EDATE('Start Here'!$B$8,81)</f>
        <v>48792</v>
      </c>
      <c r="C86" s="42" t="n">
        <f aca="false">SUM(F86:O86)</f>
        <v>0</v>
      </c>
      <c r="D86" s="42" t="n">
        <f aca="false">ROUND(SUM($Z86:$AI86)-SUM(P85:Y85),2)</f>
        <v>0</v>
      </c>
      <c r="E86" s="55" t="n">
        <f aca="false">SUM(P86:Y86)</f>
        <v>0</v>
      </c>
      <c r="F86" s="42" t="n">
        <f aca="false">AJ86+MIN(Z86-AJ86,MAX(0,'Start Here'!$B$10-SUM($AJ86:$AS86)-SUMPRODUCT(($Z$3:$AI$3&lt;Z$3)*($Z86:$AI86-$AJ86:$AS86))))</f>
        <v>0</v>
      </c>
      <c r="G86" s="42" t="n">
        <f aca="false">AK86+MIN(AA86-AK86,MAX(0,'Start Here'!$B$10-SUM($AJ86:$AS86)-SUMPRODUCT(($Z$3:$AI$3&lt;AA$3)*($Z86:$AI86-$AJ86:$AS86))))</f>
        <v>0</v>
      </c>
      <c r="H86" s="42" t="n">
        <f aca="false">AL86+MIN(AB86-AL86,MAX(0,'Start Here'!$B$10-SUM($AJ86:$AS86)-SUMPRODUCT(($Z$3:$AI$3&lt;AB$3)*($Z86:$AI86-$AJ86:$AS86))))</f>
        <v>0</v>
      </c>
      <c r="I86" s="42" t="n">
        <f aca="false">AM86+MIN(AC86-AM86,MAX(0,'Start Here'!$B$10-SUM($AJ86:$AS86)-SUMPRODUCT(($Z$3:$AI$3&lt;AC$3)*($Z86:$AI86-$AJ86:$AS86))))</f>
        <v>0</v>
      </c>
      <c r="J86" s="42" t="n">
        <f aca="false">AN86+MIN(AD86-AN86,MAX(0,'Start Here'!$B$10-SUM($AJ86:$AS86)-SUMPRODUCT(($Z$3:$AI$3&lt;AD$3)*($Z86:$AI86-$AJ86:$AS86))))</f>
        <v>0</v>
      </c>
      <c r="K86" s="42" t="n">
        <f aca="false">AO86+MIN(AE86-AO86,MAX(0,'Start Here'!$B$10-SUM($AJ86:$AS86)-SUMPRODUCT(($Z$3:$AI$3&lt;AE$3)*($Z86:$AI86-$AJ86:$AS86))))</f>
        <v>0</v>
      </c>
      <c r="L86" s="42" t="n">
        <f aca="false">AP86+MIN(AF86-AP86,MAX(0,'Start Here'!$B$10-SUM($AJ86:$AS86)-SUMPRODUCT(($Z$3:$AI$3&lt;AF$3)*($Z86:$AI86-$AJ86:$AS86))))</f>
        <v>0</v>
      </c>
      <c r="M86" s="42" t="n">
        <f aca="false">AQ86+MIN(AG86-AQ86,MAX(0,'Start Here'!$B$10-SUM($AJ86:$AS86)-SUMPRODUCT(($Z$3:$AI$3&lt;AG$3)*($Z86:$AI86-$AJ86:$AS86))))</f>
        <v>0</v>
      </c>
      <c r="N86" s="42" t="n">
        <f aca="false">AR86+MIN(AH86-AR86,MAX(0,'Start Here'!$B$10-SUM($AJ86:$AS86)-SUMPRODUCT(($Z$3:$AI$3&lt;AH$3)*($Z86:$AI86-$AJ86:$AS86))))</f>
        <v>0</v>
      </c>
      <c r="O86" s="42" t="n">
        <f aca="false">AS86+MIN(AI86-AS86,MAX(0,'Start Here'!$B$10-SUM($AJ86:$AS86)-SUMPRODUCT(($Z$3:$AI$3&lt;AI$3)*($Z86:$AI86-$AJ86:$AS86))))</f>
        <v>0</v>
      </c>
      <c r="P86" s="42" t="n">
        <f aca="false">ROUND(Z86-F86,2)</f>
        <v>0</v>
      </c>
      <c r="Q86" s="42" t="n">
        <f aca="false">ROUND(AA86-G86,2)</f>
        <v>0</v>
      </c>
      <c r="R86" s="42" t="n">
        <f aca="false">ROUND(AB86-H86,2)</f>
        <v>0</v>
      </c>
      <c r="S86" s="42" t="n">
        <f aca="false">ROUND(AC86-I86,2)</f>
        <v>0</v>
      </c>
      <c r="T86" s="42" t="n">
        <f aca="false">ROUND(AD86-J86,2)</f>
        <v>0</v>
      </c>
      <c r="U86" s="42" t="n">
        <f aca="false">ROUND(AE86-K86,2)</f>
        <v>0</v>
      </c>
      <c r="V86" s="42" t="n">
        <f aca="false">ROUND(AF86-L86,2)</f>
        <v>0</v>
      </c>
      <c r="W86" s="42" t="n">
        <f aca="false">ROUND(AG86-M86,2)</f>
        <v>0</v>
      </c>
      <c r="X86" s="42" t="n">
        <f aca="false">ROUND(AH86-N86,2)</f>
        <v>0</v>
      </c>
      <c r="Y86" s="42" t="n">
        <f aca="false">ROUND(AI86-O86,2)</f>
        <v>0</v>
      </c>
      <c r="Z86" s="56" t="n">
        <f aca="false">ROUND(P85*(1+N(Debts!$D$5)/12),2)</f>
        <v>0</v>
      </c>
      <c r="AA86" s="56" t="n">
        <f aca="false">ROUND(Q85*(1+N(Debts!$D$6)/12),2)</f>
        <v>0</v>
      </c>
      <c r="AB86" s="56" t="n">
        <f aca="false">ROUND(R85*(1+N(Debts!$D$7)/12),2)</f>
        <v>0</v>
      </c>
      <c r="AC86" s="56" t="n">
        <f aca="false">ROUND(S85*(1+N(Debts!$D$8)/12),2)</f>
        <v>0</v>
      </c>
      <c r="AD86" s="56" t="n">
        <f aca="false">ROUND(T85*(1+N(Debts!$D$9)/12),2)</f>
        <v>0</v>
      </c>
      <c r="AE86" s="56" t="n">
        <f aca="false">ROUND(U85*(1+N(Debts!$D$10)/12),2)</f>
        <v>0</v>
      </c>
      <c r="AF86" s="56" t="n">
        <f aca="false">ROUND(V85*(1+N(Debts!$D$11)/12),2)</f>
        <v>0</v>
      </c>
      <c r="AG86" s="56" t="n">
        <f aca="false">ROUND(W85*(1+N(Debts!$D$12)/12),2)</f>
        <v>0</v>
      </c>
      <c r="AH86" s="56" t="n">
        <f aca="false">ROUND(X85*(1+N(Debts!$D$13)/12),2)</f>
        <v>0</v>
      </c>
      <c r="AI86" s="56" t="n">
        <f aca="false">ROUND(Y85*(1+N(Debts!$D$14)/12),2)</f>
        <v>0</v>
      </c>
      <c r="AJ86" s="56" t="n">
        <f aca="false">MIN(Z86,MAX(0,N(Debts!$E$5)))</f>
        <v>0</v>
      </c>
      <c r="AK86" s="56" t="n">
        <f aca="false">MIN(AA86,MAX(0,N(Debts!$E$6)))</f>
        <v>0</v>
      </c>
      <c r="AL86" s="56" t="n">
        <f aca="false">MIN(AB86,MAX(0,N(Debts!$E$7)))</f>
        <v>0</v>
      </c>
      <c r="AM86" s="56" t="n">
        <f aca="false">MIN(AC86,MAX(0,N(Debts!$E$8)))</f>
        <v>0</v>
      </c>
      <c r="AN86" s="56" t="n">
        <f aca="false">MIN(AD86,MAX(0,N(Debts!$E$9)))</f>
        <v>0</v>
      </c>
      <c r="AO86" s="56" t="n">
        <f aca="false">MIN(AE86,MAX(0,N(Debts!$E$10)))</f>
        <v>0</v>
      </c>
      <c r="AP86" s="56" t="n">
        <f aca="false">MIN(AF86,MAX(0,N(Debts!$E$11)))</f>
        <v>0</v>
      </c>
      <c r="AQ86" s="56" t="n">
        <f aca="false">MIN(AG86,MAX(0,N(Debts!$E$12)))</f>
        <v>0</v>
      </c>
      <c r="AR86" s="56" t="n">
        <f aca="false">MIN(AH86,MAX(0,N(Debts!$E$13)))</f>
        <v>0</v>
      </c>
      <c r="AS86" s="56" t="n">
        <f aca="false">MIN(AI86,MAX(0,N(Debts!$E$14)))</f>
        <v>0</v>
      </c>
    </row>
    <row r="87" customFormat="false" ht="15" hidden="false" customHeight="false" outlineLevel="0" collapsed="false">
      <c r="A87" s="53" t="n">
        <v>83</v>
      </c>
      <c r="B87" s="54" t="n">
        <f aca="false">EDATE('Start Here'!$B$8,82)</f>
        <v>48823</v>
      </c>
      <c r="C87" s="42" t="n">
        <f aca="false">SUM(F87:O87)</f>
        <v>0</v>
      </c>
      <c r="D87" s="42" t="n">
        <f aca="false">ROUND(SUM($Z87:$AI87)-SUM(P86:Y86),2)</f>
        <v>0</v>
      </c>
      <c r="E87" s="55" t="n">
        <f aca="false">SUM(P87:Y87)</f>
        <v>0</v>
      </c>
      <c r="F87" s="42" t="n">
        <f aca="false">AJ87+MIN(Z87-AJ87,MAX(0,'Start Here'!$B$10-SUM($AJ87:$AS87)-SUMPRODUCT(($Z$3:$AI$3&lt;Z$3)*($Z87:$AI87-$AJ87:$AS87))))</f>
        <v>0</v>
      </c>
      <c r="G87" s="42" t="n">
        <f aca="false">AK87+MIN(AA87-AK87,MAX(0,'Start Here'!$B$10-SUM($AJ87:$AS87)-SUMPRODUCT(($Z$3:$AI$3&lt;AA$3)*($Z87:$AI87-$AJ87:$AS87))))</f>
        <v>0</v>
      </c>
      <c r="H87" s="42" t="n">
        <f aca="false">AL87+MIN(AB87-AL87,MAX(0,'Start Here'!$B$10-SUM($AJ87:$AS87)-SUMPRODUCT(($Z$3:$AI$3&lt;AB$3)*($Z87:$AI87-$AJ87:$AS87))))</f>
        <v>0</v>
      </c>
      <c r="I87" s="42" t="n">
        <f aca="false">AM87+MIN(AC87-AM87,MAX(0,'Start Here'!$B$10-SUM($AJ87:$AS87)-SUMPRODUCT(($Z$3:$AI$3&lt;AC$3)*($Z87:$AI87-$AJ87:$AS87))))</f>
        <v>0</v>
      </c>
      <c r="J87" s="42" t="n">
        <f aca="false">AN87+MIN(AD87-AN87,MAX(0,'Start Here'!$B$10-SUM($AJ87:$AS87)-SUMPRODUCT(($Z$3:$AI$3&lt;AD$3)*($Z87:$AI87-$AJ87:$AS87))))</f>
        <v>0</v>
      </c>
      <c r="K87" s="42" t="n">
        <f aca="false">AO87+MIN(AE87-AO87,MAX(0,'Start Here'!$B$10-SUM($AJ87:$AS87)-SUMPRODUCT(($Z$3:$AI$3&lt;AE$3)*($Z87:$AI87-$AJ87:$AS87))))</f>
        <v>0</v>
      </c>
      <c r="L87" s="42" t="n">
        <f aca="false">AP87+MIN(AF87-AP87,MAX(0,'Start Here'!$B$10-SUM($AJ87:$AS87)-SUMPRODUCT(($Z$3:$AI$3&lt;AF$3)*($Z87:$AI87-$AJ87:$AS87))))</f>
        <v>0</v>
      </c>
      <c r="M87" s="42" t="n">
        <f aca="false">AQ87+MIN(AG87-AQ87,MAX(0,'Start Here'!$B$10-SUM($AJ87:$AS87)-SUMPRODUCT(($Z$3:$AI$3&lt;AG$3)*($Z87:$AI87-$AJ87:$AS87))))</f>
        <v>0</v>
      </c>
      <c r="N87" s="42" t="n">
        <f aca="false">AR87+MIN(AH87-AR87,MAX(0,'Start Here'!$B$10-SUM($AJ87:$AS87)-SUMPRODUCT(($Z$3:$AI$3&lt;AH$3)*($Z87:$AI87-$AJ87:$AS87))))</f>
        <v>0</v>
      </c>
      <c r="O87" s="42" t="n">
        <f aca="false">AS87+MIN(AI87-AS87,MAX(0,'Start Here'!$B$10-SUM($AJ87:$AS87)-SUMPRODUCT(($Z$3:$AI$3&lt;AI$3)*($Z87:$AI87-$AJ87:$AS87))))</f>
        <v>0</v>
      </c>
      <c r="P87" s="42" t="n">
        <f aca="false">ROUND(Z87-F87,2)</f>
        <v>0</v>
      </c>
      <c r="Q87" s="42" t="n">
        <f aca="false">ROUND(AA87-G87,2)</f>
        <v>0</v>
      </c>
      <c r="R87" s="42" t="n">
        <f aca="false">ROUND(AB87-H87,2)</f>
        <v>0</v>
      </c>
      <c r="S87" s="42" t="n">
        <f aca="false">ROUND(AC87-I87,2)</f>
        <v>0</v>
      </c>
      <c r="T87" s="42" t="n">
        <f aca="false">ROUND(AD87-J87,2)</f>
        <v>0</v>
      </c>
      <c r="U87" s="42" t="n">
        <f aca="false">ROUND(AE87-K87,2)</f>
        <v>0</v>
      </c>
      <c r="V87" s="42" t="n">
        <f aca="false">ROUND(AF87-L87,2)</f>
        <v>0</v>
      </c>
      <c r="W87" s="42" t="n">
        <f aca="false">ROUND(AG87-M87,2)</f>
        <v>0</v>
      </c>
      <c r="X87" s="42" t="n">
        <f aca="false">ROUND(AH87-N87,2)</f>
        <v>0</v>
      </c>
      <c r="Y87" s="42" t="n">
        <f aca="false">ROUND(AI87-O87,2)</f>
        <v>0</v>
      </c>
      <c r="Z87" s="56" t="n">
        <f aca="false">ROUND(P86*(1+N(Debts!$D$5)/12),2)</f>
        <v>0</v>
      </c>
      <c r="AA87" s="56" t="n">
        <f aca="false">ROUND(Q86*(1+N(Debts!$D$6)/12),2)</f>
        <v>0</v>
      </c>
      <c r="AB87" s="56" t="n">
        <f aca="false">ROUND(R86*(1+N(Debts!$D$7)/12),2)</f>
        <v>0</v>
      </c>
      <c r="AC87" s="56" t="n">
        <f aca="false">ROUND(S86*(1+N(Debts!$D$8)/12),2)</f>
        <v>0</v>
      </c>
      <c r="AD87" s="56" t="n">
        <f aca="false">ROUND(T86*(1+N(Debts!$D$9)/12),2)</f>
        <v>0</v>
      </c>
      <c r="AE87" s="56" t="n">
        <f aca="false">ROUND(U86*(1+N(Debts!$D$10)/12),2)</f>
        <v>0</v>
      </c>
      <c r="AF87" s="56" t="n">
        <f aca="false">ROUND(V86*(1+N(Debts!$D$11)/12),2)</f>
        <v>0</v>
      </c>
      <c r="AG87" s="56" t="n">
        <f aca="false">ROUND(W86*(1+N(Debts!$D$12)/12),2)</f>
        <v>0</v>
      </c>
      <c r="AH87" s="56" t="n">
        <f aca="false">ROUND(X86*(1+N(Debts!$D$13)/12),2)</f>
        <v>0</v>
      </c>
      <c r="AI87" s="56" t="n">
        <f aca="false">ROUND(Y86*(1+N(Debts!$D$14)/12),2)</f>
        <v>0</v>
      </c>
      <c r="AJ87" s="56" t="n">
        <f aca="false">MIN(Z87,MAX(0,N(Debts!$E$5)))</f>
        <v>0</v>
      </c>
      <c r="AK87" s="56" t="n">
        <f aca="false">MIN(AA87,MAX(0,N(Debts!$E$6)))</f>
        <v>0</v>
      </c>
      <c r="AL87" s="56" t="n">
        <f aca="false">MIN(AB87,MAX(0,N(Debts!$E$7)))</f>
        <v>0</v>
      </c>
      <c r="AM87" s="56" t="n">
        <f aca="false">MIN(AC87,MAX(0,N(Debts!$E$8)))</f>
        <v>0</v>
      </c>
      <c r="AN87" s="56" t="n">
        <f aca="false">MIN(AD87,MAX(0,N(Debts!$E$9)))</f>
        <v>0</v>
      </c>
      <c r="AO87" s="56" t="n">
        <f aca="false">MIN(AE87,MAX(0,N(Debts!$E$10)))</f>
        <v>0</v>
      </c>
      <c r="AP87" s="56" t="n">
        <f aca="false">MIN(AF87,MAX(0,N(Debts!$E$11)))</f>
        <v>0</v>
      </c>
      <c r="AQ87" s="56" t="n">
        <f aca="false">MIN(AG87,MAX(0,N(Debts!$E$12)))</f>
        <v>0</v>
      </c>
      <c r="AR87" s="56" t="n">
        <f aca="false">MIN(AH87,MAX(0,N(Debts!$E$13)))</f>
        <v>0</v>
      </c>
      <c r="AS87" s="56" t="n">
        <f aca="false">MIN(AI87,MAX(0,N(Debts!$E$14)))</f>
        <v>0</v>
      </c>
    </row>
    <row r="88" customFormat="false" ht="15" hidden="false" customHeight="false" outlineLevel="0" collapsed="false">
      <c r="A88" s="53" t="n">
        <v>84</v>
      </c>
      <c r="B88" s="54" t="n">
        <f aca="false">EDATE('Start Here'!$B$8,83)</f>
        <v>48853</v>
      </c>
      <c r="C88" s="42" t="n">
        <f aca="false">SUM(F88:O88)</f>
        <v>0</v>
      </c>
      <c r="D88" s="42" t="n">
        <f aca="false">ROUND(SUM($Z88:$AI88)-SUM(P87:Y87),2)</f>
        <v>0</v>
      </c>
      <c r="E88" s="55" t="n">
        <f aca="false">SUM(P88:Y88)</f>
        <v>0</v>
      </c>
      <c r="F88" s="42" t="n">
        <f aca="false">AJ88+MIN(Z88-AJ88,MAX(0,'Start Here'!$B$10-SUM($AJ88:$AS88)-SUMPRODUCT(($Z$3:$AI$3&lt;Z$3)*($Z88:$AI88-$AJ88:$AS88))))</f>
        <v>0</v>
      </c>
      <c r="G88" s="42" t="n">
        <f aca="false">AK88+MIN(AA88-AK88,MAX(0,'Start Here'!$B$10-SUM($AJ88:$AS88)-SUMPRODUCT(($Z$3:$AI$3&lt;AA$3)*($Z88:$AI88-$AJ88:$AS88))))</f>
        <v>0</v>
      </c>
      <c r="H88" s="42" t="n">
        <f aca="false">AL88+MIN(AB88-AL88,MAX(0,'Start Here'!$B$10-SUM($AJ88:$AS88)-SUMPRODUCT(($Z$3:$AI$3&lt;AB$3)*($Z88:$AI88-$AJ88:$AS88))))</f>
        <v>0</v>
      </c>
      <c r="I88" s="42" t="n">
        <f aca="false">AM88+MIN(AC88-AM88,MAX(0,'Start Here'!$B$10-SUM($AJ88:$AS88)-SUMPRODUCT(($Z$3:$AI$3&lt;AC$3)*($Z88:$AI88-$AJ88:$AS88))))</f>
        <v>0</v>
      </c>
      <c r="J88" s="42" t="n">
        <f aca="false">AN88+MIN(AD88-AN88,MAX(0,'Start Here'!$B$10-SUM($AJ88:$AS88)-SUMPRODUCT(($Z$3:$AI$3&lt;AD$3)*($Z88:$AI88-$AJ88:$AS88))))</f>
        <v>0</v>
      </c>
      <c r="K88" s="42" t="n">
        <f aca="false">AO88+MIN(AE88-AO88,MAX(0,'Start Here'!$B$10-SUM($AJ88:$AS88)-SUMPRODUCT(($Z$3:$AI$3&lt;AE$3)*($Z88:$AI88-$AJ88:$AS88))))</f>
        <v>0</v>
      </c>
      <c r="L88" s="42" t="n">
        <f aca="false">AP88+MIN(AF88-AP88,MAX(0,'Start Here'!$B$10-SUM($AJ88:$AS88)-SUMPRODUCT(($Z$3:$AI$3&lt;AF$3)*($Z88:$AI88-$AJ88:$AS88))))</f>
        <v>0</v>
      </c>
      <c r="M88" s="42" t="n">
        <f aca="false">AQ88+MIN(AG88-AQ88,MAX(0,'Start Here'!$B$10-SUM($AJ88:$AS88)-SUMPRODUCT(($Z$3:$AI$3&lt;AG$3)*($Z88:$AI88-$AJ88:$AS88))))</f>
        <v>0</v>
      </c>
      <c r="N88" s="42" t="n">
        <f aca="false">AR88+MIN(AH88-AR88,MAX(0,'Start Here'!$B$10-SUM($AJ88:$AS88)-SUMPRODUCT(($Z$3:$AI$3&lt;AH$3)*($Z88:$AI88-$AJ88:$AS88))))</f>
        <v>0</v>
      </c>
      <c r="O88" s="42" t="n">
        <f aca="false">AS88+MIN(AI88-AS88,MAX(0,'Start Here'!$B$10-SUM($AJ88:$AS88)-SUMPRODUCT(($Z$3:$AI$3&lt;AI$3)*($Z88:$AI88-$AJ88:$AS88))))</f>
        <v>0</v>
      </c>
      <c r="P88" s="42" t="n">
        <f aca="false">ROUND(Z88-F88,2)</f>
        <v>0</v>
      </c>
      <c r="Q88" s="42" t="n">
        <f aca="false">ROUND(AA88-G88,2)</f>
        <v>0</v>
      </c>
      <c r="R88" s="42" t="n">
        <f aca="false">ROUND(AB88-H88,2)</f>
        <v>0</v>
      </c>
      <c r="S88" s="42" t="n">
        <f aca="false">ROUND(AC88-I88,2)</f>
        <v>0</v>
      </c>
      <c r="T88" s="42" t="n">
        <f aca="false">ROUND(AD88-J88,2)</f>
        <v>0</v>
      </c>
      <c r="U88" s="42" t="n">
        <f aca="false">ROUND(AE88-K88,2)</f>
        <v>0</v>
      </c>
      <c r="V88" s="42" t="n">
        <f aca="false">ROUND(AF88-L88,2)</f>
        <v>0</v>
      </c>
      <c r="W88" s="42" t="n">
        <f aca="false">ROUND(AG88-M88,2)</f>
        <v>0</v>
      </c>
      <c r="X88" s="42" t="n">
        <f aca="false">ROUND(AH88-N88,2)</f>
        <v>0</v>
      </c>
      <c r="Y88" s="42" t="n">
        <f aca="false">ROUND(AI88-O88,2)</f>
        <v>0</v>
      </c>
      <c r="Z88" s="56" t="n">
        <f aca="false">ROUND(P87*(1+N(Debts!$D$5)/12),2)</f>
        <v>0</v>
      </c>
      <c r="AA88" s="56" t="n">
        <f aca="false">ROUND(Q87*(1+N(Debts!$D$6)/12),2)</f>
        <v>0</v>
      </c>
      <c r="AB88" s="56" t="n">
        <f aca="false">ROUND(R87*(1+N(Debts!$D$7)/12),2)</f>
        <v>0</v>
      </c>
      <c r="AC88" s="56" t="n">
        <f aca="false">ROUND(S87*(1+N(Debts!$D$8)/12),2)</f>
        <v>0</v>
      </c>
      <c r="AD88" s="56" t="n">
        <f aca="false">ROUND(T87*(1+N(Debts!$D$9)/12),2)</f>
        <v>0</v>
      </c>
      <c r="AE88" s="56" t="n">
        <f aca="false">ROUND(U87*(1+N(Debts!$D$10)/12),2)</f>
        <v>0</v>
      </c>
      <c r="AF88" s="56" t="n">
        <f aca="false">ROUND(V87*(1+N(Debts!$D$11)/12),2)</f>
        <v>0</v>
      </c>
      <c r="AG88" s="56" t="n">
        <f aca="false">ROUND(W87*(1+N(Debts!$D$12)/12),2)</f>
        <v>0</v>
      </c>
      <c r="AH88" s="56" t="n">
        <f aca="false">ROUND(X87*(1+N(Debts!$D$13)/12),2)</f>
        <v>0</v>
      </c>
      <c r="AI88" s="56" t="n">
        <f aca="false">ROUND(Y87*(1+N(Debts!$D$14)/12),2)</f>
        <v>0</v>
      </c>
      <c r="AJ88" s="56" t="n">
        <f aca="false">MIN(Z88,MAX(0,N(Debts!$E$5)))</f>
        <v>0</v>
      </c>
      <c r="AK88" s="56" t="n">
        <f aca="false">MIN(AA88,MAX(0,N(Debts!$E$6)))</f>
        <v>0</v>
      </c>
      <c r="AL88" s="56" t="n">
        <f aca="false">MIN(AB88,MAX(0,N(Debts!$E$7)))</f>
        <v>0</v>
      </c>
      <c r="AM88" s="56" t="n">
        <f aca="false">MIN(AC88,MAX(0,N(Debts!$E$8)))</f>
        <v>0</v>
      </c>
      <c r="AN88" s="56" t="n">
        <f aca="false">MIN(AD88,MAX(0,N(Debts!$E$9)))</f>
        <v>0</v>
      </c>
      <c r="AO88" s="56" t="n">
        <f aca="false">MIN(AE88,MAX(0,N(Debts!$E$10)))</f>
        <v>0</v>
      </c>
      <c r="AP88" s="56" t="n">
        <f aca="false">MIN(AF88,MAX(0,N(Debts!$E$11)))</f>
        <v>0</v>
      </c>
      <c r="AQ88" s="56" t="n">
        <f aca="false">MIN(AG88,MAX(0,N(Debts!$E$12)))</f>
        <v>0</v>
      </c>
      <c r="AR88" s="56" t="n">
        <f aca="false">MIN(AH88,MAX(0,N(Debts!$E$13)))</f>
        <v>0</v>
      </c>
      <c r="AS88" s="56" t="n">
        <f aca="false">MIN(AI88,MAX(0,N(Debts!$E$14)))</f>
        <v>0</v>
      </c>
    </row>
    <row r="89" customFormat="false" ht="15" hidden="false" customHeight="false" outlineLevel="0" collapsed="false">
      <c r="A89" s="53" t="n">
        <v>85</v>
      </c>
      <c r="B89" s="54" t="n">
        <f aca="false">EDATE('Start Here'!$B$8,84)</f>
        <v>48884</v>
      </c>
      <c r="C89" s="42" t="n">
        <f aca="false">SUM(F89:O89)</f>
        <v>0</v>
      </c>
      <c r="D89" s="42" t="n">
        <f aca="false">ROUND(SUM($Z89:$AI89)-SUM(P88:Y88),2)</f>
        <v>0</v>
      </c>
      <c r="E89" s="55" t="n">
        <f aca="false">SUM(P89:Y89)</f>
        <v>0</v>
      </c>
      <c r="F89" s="42" t="n">
        <f aca="false">AJ89+MIN(Z89-AJ89,MAX(0,'Start Here'!$B$10-SUM($AJ89:$AS89)-SUMPRODUCT(($Z$3:$AI$3&lt;Z$3)*($Z89:$AI89-$AJ89:$AS89))))</f>
        <v>0</v>
      </c>
      <c r="G89" s="42" t="n">
        <f aca="false">AK89+MIN(AA89-AK89,MAX(0,'Start Here'!$B$10-SUM($AJ89:$AS89)-SUMPRODUCT(($Z$3:$AI$3&lt;AA$3)*($Z89:$AI89-$AJ89:$AS89))))</f>
        <v>0</v>
      </c>
      <c r="H89" s="42" t="n">
        <f aca="false">AL89+MIN(AB89-AL89,MAX(0,'Start Here'!$B$10-SUM($AJ89:$AS89)-SUMPRODUCT(($Z$3:$AI$3&lt;AB$3)*($Z89:$AI89-$AJ89:$AS89))))</f>
        <v>0</v>
      </c>
      <c r="I89" s="42" t="n">
        <f aca="false">AM89+MIN(AC89-AM89,MAX(0,'Start Here'!$B$10-SUM($AJ89:$AS89)-SUMPRODUCT(($Z$3:$AI$3&lt;AC$3)*($Z89:$AI89-$AJ89:$AS89))))</f>
        <v>0</v>
      </c>
      <c r="J89" s="42" t="n">
        <f aca="false">AN89+MIN(AD89-AN89,MAX(0,'Start Here'!$B$10-SUM($AJ89:$AS89)-SUMPRODUCT(($Z$3:$AI$3&lt;AD$3)*($Z89:$AI89-$AJ89:$AS89))))</f>
        <v>0</v>
      </c>
      <c r="K89" s="42" t="n">
        <f aca="false">AO89+MIN(AE89-AO89,MAX(0,'Start Here'!$B$10-SUM($AJ89:$AS89)-SUMPRODUCT(($Z$3:$AI$3&lt;AE$3)*($Z89:$AI89-$AJ89:$AS89))))</f>
        <v>0</v>
      </c>
      <c r="L89" s="42" t="n">
        <f aca="false">AP89+MIN(AF89-AP89,MAX(0,'Start Here'!$B$10-SUM($AJ89:$AS89)-SUMPRODUCT(($Z$3:$AI$3&lt;AF$3)*($Z89:$AI89-$AJ89:$AS89))))</f>
        <v>0</v>
      </c>
      <c r="M89" s="42" t="n">
        <f aca="false">AQ89+MIN(AG89-AQ89,MAX(0,'Start Here'!$B$10-SUM($AJ89:$AS89)-SUMPRODUCT(($Z$3:$AI$3&lt;AG$3)*($Z89:$AI89-$AJ89:$AS89))))</f>
        <v>0</v>
      </c>
      <c r="N89" s="42" t="n">
        <f aca="false">AR89+MIN(AH89-AR89,MAX(0,'Start Here'!$B$10-SUM($AJ89:$AS89)-SUMPRODUCT(($Z$3:$AI$3&lt;AH$3)*($Z89:$AI89-$AJ89:$AS89))))</f>
        <v>0</v>
      </c>
      <c r="O89" s="42" t="n">
        <f aca="false">AS89+MIN(AI89-AS89,MAX(0,'Start Here'!$B$10-SUM($AJ89:$AS89)-SUMPRODUCT(($Z$3:$AI$3&lt;AI$3)*($Z89:$AI89-$AJ89:$AS89))))</f>
        <v>0</v>
      </c>
      <c r="P89" s="42" t="n">
        <f aca="false">ROUND(Z89-F89,2)</f>
        <v>0</v>
      </c>
      <c r="Q89" s="42" t="n">
        <f aca="false">ROUND(AA89-G89,2)</f>
        <v>0</v>
      </c>
      <c r="R89" s="42" t="n">
        <f aca="false">ROUND(AB89-H89,2)</f>
        <v>0</v>
      </c>
      <c r="S89" s="42" t="n">
        <f aca="false">ROUND(AC89-I89,2)</f>
        <v>0</v>
      </c>
      <c r="T89" s="42" t="n">
        <f aca="false">ROUND(AD89-J89,2)</f>
        <v>0</v>
      </c>
      <c r="U89" s="42" t="n">
        <f aca="false">ROUND(AE89-K89,2)</f>
        <v>0</v>
      </c>
      <c r="V89" s="42" t="n">
        <f aca="false">ROUND(AF89-L89,2)</f>
        <v>0</v>
      </c>
      <c r="W89" s="42" t="n">
        <f aca="false">ROUND(AG89-M89,2)</f>
        <v>0</v>
      </c>
      <c r="X89" s="42" t="n">
        <f aca="false">ROUND(AH89-N89,2)</f>
        <v>0</v>
      </c>
      <c r="Y89" s="42" t="n">
        <f aca="false">ROUND(AI89-O89,2)</f>
        <v>0</v>
      </c>
      <c r="Z89" s="56" t="n">
        <f aca="false">ROUND(P88*(1+N(Debts!$D$5)/12),2)</f>
        <v>0</v>
      </c>
      <c r="AA89" s="56" t="n">
        <f aca="false">ROUND(Q88*(1+N(Debts!$D$6)/12),2)</f>
        <v>0</v>
      </c>
      <c r="AB89" s="56" t="n">
        <f aca="false">ROUND(R88*(1+N(Debts!$D$7)/12),2)</f>
        <v>0</v>
      </c>
      <c r="AC89" s="56" t="n">
        <f aca="false">ROUND(S88*(1+N(Debts!$D$8)/12),2)</f>
        <v>0</v>
      </c>
      <c r="AD89" s="56" t="n">
        <f aca="false">ROUND(T88*(1+N(Debts!$D$9)/12),2)</f>
        <v>0</v>
      </c>
      <c r="AE89" s="56" t="n">
        <f aca="false">ROUND(U88*(1+N(Debts!$D$10)/12),2)</f>
        <v>0</v>
      </c>
      <c r="AF89" s="56" t="n">
        <f aca="false">ROUND(V88*(1+N(Debts!$D$11)/12),2)</f>
        <v>0</v>
      </c>
      <c r="AG89" s="56" t="n">
        <f aca="false">ROUND(W88*(1+N(Debts!$D$12)/12),2)</f>
        <v>0</v>
      </c>
      <c r="AH89" s="56" t="n">
        <f aca="false">ROUND(X88*(1+N(Debts!$D$13)/12),2)</f>
        <v>0</v>
      </c>
      <c r="AI89" s="56" t="n">
        <f aca="false">ROUND(Y88*(1+N(Debts!$D$14)/12),2)</f>
        <v>0</v>
      </c>
      <c r="AJ89" s="56" t="n">
        <f aca="false">MIN(Z89,MAX(0,N(Debts!$E$5)))</f>
        <v>0</v>
      </c>
      <c r="AK89" s="56" t="n">
        <f aca="false">MIN(AA89,MAX(0,N(Debts!$E$6)))</f>
        <v>0</v>
      </c>
      <c r="AL89" s="56" t="n">
        <f aca="false">MIN(AB89,MAX(0,N(Debts!$E$7)))</f>
        <v>0</v>
      </c>
      <c r="AM89" s="56" t="n">
        <f aca="false">MIN(AC89,MAX(0,N(Debts!$E$8)))</f>
        <v>0</v>
      </c>
      <c r="AN89" s="56" t="n">
        <f aca="false">MIN(AD89,MAX(0,N(Debts!$E$9)))</f>
        <v>0</v>
      </c>
      <c r="AO89" s="56" t="n">
        <f aca="false">MIN(AE89,MAX(0,N(Debts!$E$10)))</f>
        <v>0</v>
      </c>
      <c r="AP89" s="56" t="n">
        <f aca="false">MIN(AF89,MAX(0,N(Debts!$E$11)))</f>
        <v>0</v>
      </c>
      <c r="AQ89" s="56" t="n">
        <f aca="false">MIN(AG89,MAX(0,N(Debts!$E$12)))</f>
        <v>0</v>
      </c>
      <c r="AR89" s="56" t="n">
        <f aca="false">MIN(AH89,MAX(0,N(Debts!$E$13)))</f>
        <v>0</v>
      </c>
      <c r="AS89" s="56" t="n">
        <f aca="false">MIN(AI89,MAX(0,N(Debts!$E$14)))</f>
        <v>0</v>
      </c>
    </row>
    <row r="90" customFormat="false" ht="15" hidden="false" customHeight="false" outlineLevel="0" collapsed="false">
      <c r="A90" s="53" t="n">
        <v>86</v>
      </c>
      <c r="B90" s="54" t="n">
        <f aca="false">EDATE('Start Here'!$B$8,85)</f>
        <v>48914</v>
      </c>
      <c r="C90" s="42" t="n">
        <f aca="false">SUM(F90:O90)</f>
        <v>0</v>
      </c>
      <c r="D90" s="42" t="n">
        <f aca="false">ROUND(SUM($Z90:$AI90)-SUM(P89:Y89),2)</f>
        <v>0</v>
      </c>
      <c r="E90" s="55" t="n">
        <f aca="false">SUM(P90:Y90)</f>
        <v>0</v>
      </c>
      <c r="F90" s="42" t="n">
        <f aca="false">AJ90+MIN(Z90-AJ90,MAX(0,'Start Here'!$B$10-SUM($AJ90:$AS90)-SUMPRODUCT(($Z$3:$AI$3&lt;Z$3)*($Z90:$AI90-$AJ90:$AS90))))</f>
        <v>0</v>
      </c>
      <c r="G90" s="42" t="n">
        <f aca="false">AK90+MIN(AA90-AK90,MAX(0,'Start Here'!$B$10-SUM($AJ90:$AS90)-SUMPRODUCT(($Z$3:$AI$3&lt;AA$3)*($Z90:$AI90-$AJ90:$AS90))))</f>
        <v>0</v>
      </c>
      <c r="H90" s="42" t="n">
        <f aca="false">AL90+MIN(AB90-AL90,MAX(0,'Start Here'!$B$10-SUM($AJ90:$AS90)-SUMPRODUCT(($Z$3:$AI$3&lt;AB$3)*($Z90:$AI90-$AJ90:$AS90))))</f>
        <v>0</v>
      </c>
      <c r="I90" s="42" t="n">
        <f aca="false">AM90+MIN(AC90-AM90,MAX(0,'Start Here'!$B$10-SUM($AJ90:$AS90)-SUMPRODUCT(($Z$3:$AI$3&lt;AC$3)*($Z90:$AI90-$AJ90:$AS90))))</f>
        <v>0</v>
      </c>
      <c r="J90" s="42" t="n">
        <f aca="false">AN90+MIN(AD90-AN90,MAX(0,'Start Here'!$B$10-SUM($AJ90:$AS90)-SUMPRODUCT(($Z$3:$AI$3&lt;AD$3)*($Z90:$AI90-$AJ90:$AS90))))</f>
        <v>0</v>
      </c>
      <c r="K90" s="42" t="n">
        <f aca="false">AO90+MIN(AE90-AO90,MAX(0,'Start Here'!$B$10-SUM($AJ90:$AS90)-SUMPRODUCT(($Z$3:$AI$3&lt;AE$3)*($Z90:$AI90-$AJ90:$AS90))))</f>
        <v>0</v>
      </c>
      <c r="L90" s="42" t="n">
        <f aca="false">AP90+MIN(AF90-AP90,MAX(0,'Start Here'!$B$10-SUM($AJ90:$AS90)-SUMPRODUCT(($Z$3:$AI$3&lt;AF$3)*($Z90:$AI90-$AJ90:$AS90))))</f>
        <v>0</v>
      </c>
      <c r="M90" s="42" t="n">
        <f aca="false">AQ90+MIN(AG90-AQ90,MAX(0,'Start Here'!$B$10-SUM($AJ90:$AS90)-SUMPRODUCT(($Z$3:$AI$3&lt;AG$3)*($Z90:$AI90-$AJ90:$AS90))))</f>
        <v>0</v>
      </c>
      <c r="N90" s="42" t="n">
        <f aca="false">AR90+MIN(AH90-AR90,MAX(0,'Start Here'!$B$10-SUM($AJ90:$AS90)-SUMPRODUCT(($Z$3:$AI$3&lt;AH$3)*($Z90:$AI90-$AJ90:$AS90))))</f>
        <v>0</v>
      </c>
      <c r="O90" s="42" t="n">
        <f aca="false">AS90+MIN(AI90-AS90,MAX(0,'Start Here'!$B$10-SUM($AJ90:$AS90)-SUMPRODUCT(($Z$3:$AI$3&lt;AI$3)*($Z90:$AI90-$AJ90:$AS90))))</f>
        <v>0</v>
      </c>
      <c r="P90" s="42" t="n">
        <f aca="false">ROUND(Z90-F90,2)</f>
        <v>0</v>
      </c>
      <c r="Q90" s="42" t="n">
        <f aca="false">ROUND(AA90-G90,2)</f>
        <v>0</v>
      </c>
      <c r="R90" s="42" t="n">
        <f aca="false">ROUND(AB90-H90,2)</f>
        <v>0</v>
      </c>
      <c r="S90" s="42" t="n">
        <f aca="false">ROUND(AC90-I90,2)</f>
        <v>0</v>
      </c>
      <c r="T90" s="42" t="n">
        <f aca="false">ROUND(AD90-J90,2)</f>
        <v>0</v>
      </c>
      <c r="U90" s="42" t="n">
        <f aca="false">ROUND(AE90-K90,2)</f>
        <v>0</v>
      </c>
      <c r="V90" s="42" t="n">
        <f aca="false">ROUND(AF90-L90,2)</f>
        <v>0</v>
      </c>
      <c r="W90" s="42" t="n">
        <f aca="false">ROUND(AG90-M90,2)</f>
        <v>0</v>
      </c>
      <c r="X90" s="42" t="n">
        <f aca="false">ROUND(AH90-N90,2)</f>
        <v>0</v>
      </c>
      <c r="Y90" s="42" t="n">
        <f aca="false">ROUND(AI90-O90,2)</f>
        <v>0</v>
      </c>
      <c r="Z90" s="56" t="n">
        <f aca="false">ROUND(P89*(1+N(Debts!$D$5)/12),2)</f>
        <v>0</v>
      </c>
      <c r="AA90" s="56" t="n">
        <f aca="false">ROUND(Q89*(1+N(Debts!$D$6)/12),2)</f>
        <v>0</v>
      </c>
      <c r="AB90" s="56" t="n">
        <f aca="false">ROUND(R89*(1+N(Debts!$D$7)/12),2)</f>
        <v>0</v>
      </c>
      <c r="AC90" s="56" t="n">
        <f aca="false">ROUND(S89*(1+N(Debts!$D$8)/12),2)</f>
        <v>0</v>
      </c>
      <c r="AD90" s="56" t="n">
        <f aca="false">ROUND(T89*(1+N(Debts!$D$9)/12),2)</f>
        <v>0</v>
      </c>
      <c r="AE90" s="56" t="n">
        <f aca="false">ROUND(U89*(1+N(Debts!$D$10)/12),2)</f>
        <v>0</v>
      </c>
      <c r="AF90" s="56" t="n">
        <f aca="false">ROUND(V89*(1+N(Debts!$D$11)/12),2)</f>
        <v>0</v>
      </c>
      <c r="AG90" s="56" t="n">
        <f aca="false">ROUND(W89*(1+N(Debts!$D$12)/12),2)</f>
        <v>0</v>
      </c>
      <c r="AH90" s="56" t="n">
        <f aca="false">ROUND(X89*(1+N(Debts!$D$13)/12),2)</f>
        <v>0</v>
      </c>
      <c r="AI90" s="56" t="n">
        <f aca="false">ROUND(Y89*(1+N(Debts!$D$14)/12),2)</f>
        <v>0</v>
      </c>
      <c r="AJ90" s="56" t="n">
        <f aca="false">MIN(Z90,MAX(0,N(Debts!$E$5)))</f>
        <v>0</v>
      </c>
      <c r="AK90" s="56" t="n">
        <f aca="false">MIN(AA90,MAX(0,N(Debts!$E$6)))</f>
        <v>0</v>
      </c>
      <c r="AL90" s="56" t="n">
        <f aca="false">MIN(AB90,MAX(0,N(Debts!$E$7)))</f>
        <v>0</v>
      </c>
      <c r="AM90" s="56" t="n">
        <f aca="false">MIN(AC90,MAX(0,N(Debts!$E$8)))</f>
        <v>0</v>
      </c>
      <c r="AN90" s="56" t="n">
        <f aca="false">MIN(AD90,MAX(0,N(Debts!$E$9)))</f>
        <v>0</v>
      </c>
      <c r="AO90" s="56" t="n">
        <f aca="false">MIN(AE90,MAX(0,N(Debts!$E$10)))</f>
        <v>0</v>
      </c>
      <c r="AP90" s="56" t="n">
        <f aca="false">MIN(AF90,MAX(0,N(Debts!$E$11)))</f>
        <v>0</v>
      </c>
      <c r="AQ90" s="56" t="n">
        <f aca="false">MIN(AG90,MAX(0,N(Debts!$E$12)))</f>
        <v>0</v>
      </c>
      <c r="AR90" s="56" t="n">
        <f aca="false">MIN(AH90,MAX(0,N(Debts!$E$13)))</f>
        <v>0</v>
      </c>
      <c r="AS90" s="56" t="n">
        <f aca="false">MIN(AI90,MAX(0,N(Debts!$E$14)))</f>
        <v>0</v>
      </c>
    </row>
    <row r="91" customFormat="false" ht="15" hidden="false" customHeight="false" outlineLevel="0" collapsed="false">
      <c r="A91" s="53" t="n">
        <v>87</v>
      </c>
      <c r="B91" s="54" t="n">
        <f aca="false">EDATE('Start Here'!$B$8,86)</f>
        <v>48945</v>
      </c>
      <c r="C91" s="42" t="n">
        <f aca="false">SUM(F91:O91)</f>
        <v>0</v>
      </c>
      <c r="D91" s="42" t="n">
        <f aca="false">ROUND(SUM($Z91:$AI91)-SUM(P90:Y90),2)</f>
        <v>0</v>
      </c>
      <c r="E91" s="55" t="n">
        <f aca="false">SUM(P91:Y91)</f>
        <v>0</v>
      </c>
      <c r="F91" s="42" t="n">
        <f aca="false">AJ91+MIN(Z91-AJ91,MAX(0,'Start Here'!$B$10-SUM($AJ91:$AS91)-SUMPRODUCT(($Z$3:$AI$3&lt;Z$3)*($Z91:$AI91-$AJ91:$AS91))))</f>
        <v>0</v>
      </c>
      <c r="G91" s="42" t="n">
        <f aca="false">AK91+MIN(AA91-AK91,MAX(0,'Start Here'!$B$10-SUM($AJ91:$AS91)-SUMPRODUCT(($Z$3:$AI$3&lt;AA$3)*($Z91:$AI91-$AJ91:$AS91))))</f>
        <v>0</v>
      </c>
      <c r="H91" s="42" t="n">
        <f aca="false">AL91+MIN(AB91-AL91,MAX(0,'Start Here'!$B$10-SUM($AJ91:$AS91)-SUMPRODUCT(($Z$3:$AI$3&lt;AB$3)*($Z91:$AI91-$AJ91:$AS91))))</f>
        <v>0</v>
      </c>
      <c r="I91" s="42" t="n">
        <f aca="false">AM91+MIN(AC91-AM91,MAX(0,'Start Here'!$B$10-SUM($AJ91:$AS91)-SUMPRODUCT(($Z$3:$AI$3&lt;AC$3)*($Z91:$AI91-$AJ91:$AS91))))</f>
        <v>0</v>
      </c>
      <c r="J91" s="42" t="n">
        <f aca="false">AN91+MIN(AD91-AN91,MAX(0,'Start Here'!$B$10-SUM($AJ91:$AS91)-SUMPRODUCT(($Z$3:$AI$3&lt;AD$3)*($Z91:$AI91-$AJ91:$AS91))))</f>
        <v>0</v>
      </c>
      <c r="K91" s="42" t="n">
        <f aca="false">AO91+MIN(AE91-AO91,MAX(0,'Start Here'!$B$10-SUM($AJ91:$AS91)-SUMPRODUCT(($Z$3:$AI$3&lt;AE$3)*($Z91:$AI91-$AJ91:$AS91))))</f>
        <v>0</v>
      </c>
      <c r="L91" s="42" t="n">
        <f aca="false">AP91+MIN(AF91-AP91,MAX(0,'Start Here'!$B$10-SUM($AJ91:$AS91)-SUMPRODUCT(($Z$3:$AI$3&lt;AF$3)*($Z91:$AI91-$AJ91:$AS91))))</f>
        <v>0</v>
      </c>
      <c r="M91" s="42" t="n">
        <f aca="false">AQ91+MIN(AG91-AQ91,MAX(0,'Start Here'!$B$10-SUM($AJ91:$AS91)-SUMPRODUCT(($Z$3:$AI$3&lt;AG$3)*($Z91:$AI91-$AJ91:$AS91))))</f>
        <v>0</v>
      </c>
      <c r="N91" s="42" t="n">
        <f aca="false">AR91+MIN(AH91-AR91,MAX(0,'Start Here'!$B$10-SUM($AJ91:$AS91)-SUMPRODUCT(($Z$3:$AI$3&lt;AH$3)*($Z91:$AI91-$AJ91:$AS91))))</f>
        <v>0</v>
      </c>
      <c r="O91" s="42" t="n">
        <f aca="false">AS91+MIN(AI91-AS91,MAX(0,'Start Here'!$B$10-SUM($AJ91:$AS91)-SUMPRODUCT(($Z$3:$AI$3&lt;AI$3)*($Z91:$AI91-$AJ91:$AS91))))</f>
        <v>0</v>
      </c>
      <c r="P91" s="42" t="n">
        <f aca="false">ROUND(Z91-F91,2)</f>
        <v>0</v>
      </c>
      <c r="Q91" s="42" t="n">
        <f aca="false">ROUND(AA91-G91,2)</f>
        <v>0</v>
      </c>
      <c r="R91" s="42" t="n">
        <f aca="false">ROUND(AB91-H91,2)</f>
        <v>0</v>
      </c>
      <c r="S91" s="42" t="n">
        <f aca="false">ROUND(AC91-I91,2)</f>
        <v>0</v>
      </c>
      <c r="T91" s="42" t="n">
        <f aca="false">ROUND(AD91-J91,2)</f>
        <v>0</v>
      </c>
      <c r="U91" s="42" t="n">
        <f aca="false">ROUND(AE91-K91,2)</f>
        <v>0</v>
      </c>
      <c r="V91" s="42" t="n">
        <f aca="false">ROUND(AF91-L91,2)</f>
        <v>0</v>
      </c>
      <c r="W91" s="42" t="n">
        <f aca="false">ROUND(AG91-M91,2)</f>
        <v>0</v>
      </c>
      <c r="X91" s="42" t="n">
        <f aca="false">ROUND(AH91-N91,2)</f>
        <v>0</v>
      </c>
      <c r="Y91" s="42" t="n">
        <f aca="false">ROUND(AI91-O91,2)</f>
        <v>0</v>
      </c>
      <c r="Z91" s="56" t="n">
        <f aca="false">ROUND(P90*(1+N(Debts!$D$5)/12),2)</f>
        <v>0</v>
      </c>
      <c r="AA91" s="56" t="n">
        <f aca="false">ROUND(Q90*(1+N(Debts!$D$6)/12),2)</f>
        <v>0</v>
      </c>
      <c r="AB91" s="56" t="n">
        <f aca="false">ROUND(R90*(1+N(Debts!$D$7)/12),2)</f>
        <v>0</v>
      </c>
      <c r="AC91" s="56" t="n">
        <f aca="false">ROUND(S90*(1+N(Debts!$D$8)/12),2)</f>
        <v>0</v>
      </c>
      <c r="AD91" s="56" t="n">
        <f aca="false">ROUND(T90*(1+N(Debts!$D$9)/12),2)</f>
        <v>0</v>
      </c>
      <c r="AE91" s="56" t="n">
        <f aca="false">ROUND(U90*(1+N(Debts!$D$10)/12),2)</f>
        <v>0</v>
      </c>
      <c r="AF91" s="56" t="n">
        <f aca="false">ROUND(V90*(1+N(Debts!$D$11)/12),2)</f>
        <v>0</v>
      </c>
      <c r="AG91" s="56" t="n">
        <f aca="false">ROUND(W90*(1+N(Debts!$D$12)/12),2)</f>
        <v>0</v>
      </c>
      <c r="AH91" s="56" t="n">
        <f aca="false">ROUND(X90*(1+N(Debts!$D$13)/12),2)</f>
        <v>0</v>
      </c>
      <c r="AI91" s="56" t="n">
        <f aca="false">ROUND(Y90*(1+N(Debts!$D$14)/12),2)</f>
        <v>0</v>
      </c>
      <c r="AJ91" s="56" t="n">
        <f aca="false">MIN(Z91,MAX(0,N(Debts!$E$5)))</f>
        <v>0</v>
      </c>
      <c r="AK91" s="56" t="n">
        <f aca="false">MIN(AA91,MAX(0,N(Debts!$E$6)))</f>
        <v>0</v>
      </c>
      <c r="AL91" s="56" t="n">
        <f aca="false">MIN(AB91,MAX(0,N(Debts!$E$7)))</f>
        <v>0</v>
      </c>
      <c r="AM91" s="56" t="n">
        <f aca="false">MIN(AC91,MAX(0,N(Debts!$E$8)))</f>
        <v>0</v>
      </c>
      <c r="AN91" s="56" t="n">
        <f aca="false">MIN(AD91,MAX(0,N(Debts!$E$9)))</f>
        <v>0</v>
      </c>
      <c r="AO91" s="56" t="n">
        <f aca="false">MIN(AE91,MAX(0,N(Debts!$E$10)))</f>
        <v>0</v>
      </c>
      <c r="AP91" s="56" t="n">
        <f aca="false">MIN(AF91,MAX(0,N(Debts!$E$11)))</f>
        <v>0</v>
      </c>
      <c r="AQ91" s="56" t="n">
        <f aca="false">MIN(AG91,MAX(0,N(Debts!$E$12)))</f>
        <v>0</v>
      </c>
      <c r="AR91" s="56" t="n">
        <f aca="false">MIN(AH91,MAX(0,N(Debts!$E$13)))</f>
        <v>0</v>
      </c>
      <c r="AS91" s="56" t="n">
        <f aca="false">MIN(AI91,MAX(0,N(Debts!$E$14)))</f>
        <v>0</v>
      </c>
    </row>
    <row r="92" customFormat="false" ht="15" hidden="false" customHeight="false" outlineLevel="0" collapsed="false">
      <c r="A92" s="53" t="n">
        <v>88</v>
      </c>
      <c r="B92" s="54" t="n">
        <f aca="false">EDATE('Start Here'!$B$8,87)</f>
        <v>48976</v>
      </c>
      <c r="C92" s="42" t="n">
        <f aca="false">SUM(F92:O92)</f>
        <v>0</v>
      </c>
      <c r="D92" s="42" t="n">
        <f aca="false">ROUND(SUM($Z92:$AI92)-SUM(P91:Y91),2)</f>
        <v>0</v>
      </c>
      <c r="E92" s="55" t="n">
        <f aca="false">SUM(P92:Y92)</f>
        <v>0</v>
      </c>
      <c r="F92" s="42" t="n">
        <f aca="false">AJ92+MIN(Z92-AJ92,MAX(0,'Start Here'!$B$10-SUM($AJ92:$AS92)-SUMPRODUCT(($Z$3:$AI$3&lt;Z$3)*($Z92:$AI92-$AJ92:$AS92))))</f>
        <v>0</v>
      </c>
      <c r="G92" s="42" t="n">
        <f aca="false">AK92+MIN(AA92-AK92,MAX(0,'Start Here'!$B$10-SUM($AJ92:$AS92)-SUMPRODUCT(($Z$3:$AI$3&lt;AA$3)*($Z92:$AI92-$AJ92:$AS92))))</f>
        <v>0</v>
      </c>
      <c r="H92" s="42" t="n">
        <f aca="false">AL92+MIN(AB92-AL92,MAX(0,'Start Here'!$B$10-SUM($AJ92:$AS92)-SUMPRODUCT(($Z$3:$AI$3&lt;AB$3)*($Z92:$AI92-$AJ92:$AS92))))</f>
        <v>0</v>
      </c>
      <c r="I92" s="42" t="n">
        <f aca="false">AM92+MIN(AC92-AM92,MAX(0,'Start Here'!$B$10-SUM($AJ92:$AS92)-SUMPRODUCT(($Z$3:$AI$3&lt;AC$3)*($Z92:$AI92-$AJ92:$AS92))))</f>
        <v>0</v>
      </c>
      <c r="J92" s="42" t="n">
        <f aca="false">AN92+MIN(AD92-AN92,MAX(0,'Start Here'!$B$10-SUM($AJ92:$AS92)-SUMPRODUCT(($Z$3:$AI$3&lt;AD$3)*($Z92:$AI92-$AJ92:$AS92))))</f>
        <v>0</v>
      </c>
      <c r="K92" s="42" t="n">
        <f aca="false">AO92+MIN(AE92-AO92,MAX(0,'Start Here'!$B$10-SUM($AJ92:$AS92)-SUMPRODUCT(($Z$3:$AI$3&lt;AE$3)*($Z92:$AI92-$AJ92:$AS92))))</f>
        <v>0</v>
      </c>
      <c r="L92" s="42" t="n">
        <f aca="false">AP92+MIN(AF92-AP92,MAX(0,'Start Here'!$B$10-SUM($AJ92:$AS92)-SUMPRODUCT(($Z$3:$AI$3&lt;AF$3)*($Z92:$AI92-$AJ92:$AS92))))</f>
        <v>0</v>
      </c>
      <c r="M92" s="42" t="n">
        <f aca="false">AQ92+MIN(AG92-AQ92,MAX(0,'Start Here'!$B$10-SUM($AJ92:$AS92)-SUMPRODUCT(($Z$3:$AI$3&lt;AG$3)*($Z92:$AI92-$AJ92:$AS92))))</f>
        <v>0</v>
      </c>
      <c r="N92" s="42" t="n">
        <f aca="false">AR92+MIN(AH92-AR92,MAX(0,'Start Here'!$B$10-SUM($AJ92:$AS92)-SUMPRODUCT(($Z$3:$AI$3&lt;AH$3)*($Z92:$AI92-$AJ92:$AS92))))</f>
        <v>0</v>
      </c>
      <c r="O92" s="42" t="n">
        <f aca="false">AS92+MIN(AI92-AS92,MAX(0,'Start Here'!$B$10-SUM($AJ92:$AS92)-SUMPRODUCT(($Z$3:$AI$3&lt;AI$3)*($Z92:$AI92-$AJ92:$AS92))))</f>
        <v>0</v>
      </c>
      <c r="P92" s="42" t="n">
        <f aca="false">ROUND(Z92-F92,2)</f>
        <v>0</v>
      </c>
      <c r="Q92" s="42" t="n">
        <f aca="false">ROUND(AA92-G92,2)</f>
        <v>0</v>
      </c>
      <c r="R92" s="42" t="n">
        <f aca="false">ROUND(AB92-H92,2)</f>
        <v>0</v>
      </c>
      <c r="S92" s="42" t="n">
        <f aca="false">ROUND(AC92-I92,2)</f>
        <v>0</v>
      </c>
      <c r="T92" s="42" t="n">
        <f aca="false">ROUND(AD92-J92,2)</f>
        <v>0</v>
      </c>
      <c r="U92" s="42" t="n">
        <f aca="false">ROUND(AE92-K92,2)</f>
        <v>0</v>
      </c>
      <c r="V92" s="42" t="n">
        <f aca="false">ROUND(AF92-L92,2)</f>
        <v>0</v>
      </c>
      <c r="W92" s="42" t="n">
        <f aca="false">ROUND(AG92-M92,2)</f>
        <v>0</v>
      </c>
      <c r="X92" s="42" t="n">
        <f aca="false">ROUND(AH92-N92,2)</f>
        <v>0</v>
      </c>
      <c r="Y92" s="42" t="n">
        <f aca="false">ROUND(AI92-O92,2)</f>
        <v>0</v>
      </c>
      <c r="Z92" s="56" t="n">
        <f aca="false">ROUND(P91*(1+N(Debts!$D$5)/12),2)</f>
        <v>0</v>
      </c>
      <c r="AA92" s="56" t="n">
        <f aca="false">ROUND(Q91*(1+N(Debts!$D$6)/12),2)</f>
        <v>0</v>
      </c>
      <c r="AB92" s="56" t="n">
        <f aca="false">ROUND(R91*(1+N(Debts!$D$7)/12),2)</f>
        <v>0</v>
      </c>
      <c r="AC92" s="56" t="n">
        <f aca="false">ROUND(S91*(1+N(Debts!$D$8)/12),2)</f>
        <v>0</v>
      </c>
      <c r="AD92" s="56" t="n">
        <f aca="false">ROUND(T91*(1+N(Debts!$D$9)/12),2)</f>
        <v>0</v>
      </c>
      <c r="AE92" s="56" t="n">
        <f aca="false">ROUND(U91*(1+N(Debts!$D$10)/12),2)</f>
        <v>0</v>
      </c>
      <c r="AF92" s="56" t="n">
        <f aca="false">ROUND(V91*(1+N(Debts!$D$11)/12),2)</f>
        <v>0</v>
      </c>
      <c r="AG92" s="56" t="n">
        <f aca="false">ROUND(W91*(1+N(Debts!$D$12)/12),2)</f>
        <v>0</v>
      </c>
      <c r="AH92" s="56" t="n">
        <f aca="false">ROUND(X91*(1+N(Debts!$D$13)/12),2)</f>
        <v>0</v>
      </c>
      <c r="AI92" s="56" t="n">
        <f aca="false">ROUND(Y91*(1+N(Debts!$D$14)/12),2)</f>
        <v>0</v>
      </c>
      <c r="AJ92" s="56" t="n">
        <f aca="false">MIN(Z92,MAX(0,N(Debts!$E$5)))</f>
        <v>0</v>
      </c>
      <c r="AK92" s="56" t="n">
        <f aca="false">MIN(AA92,MAX(0,N(Debts!$E$6)))</f>
        <v>0</v>
      </c>
      <c r="AL92" s="56" t="n">
        <f aca="false">MIN(AB92,MAX(0,N(Debts!$E$7)))</f>
        <v>0</v>
      </c>
      <c r="AM92" s="56" t="n">
        <f aca="false">MIN(AC92,MAX(0,N(Debts!$E$8)))</f>
        <v>0</v>
      </c>
      <c r="AN92" s="56" t="n">
        <f aca="false">MIN(AD92,MAX(0,N(Debts!$E$9)))</f>
        <v>0</v>
      </c>
      <c r="AO92" s="56" t="n">
        <f aca="false">MIN(AE92,MAX(0,N(Debts!$E$10)))</f>
        <v>0</v>
      </c>
      <c r="AP92" s="56" t="n">
        <f aca="false">MIN(AF92,MAX(0,N(Debts!$E$11)))</f>
        <v>0</v>
      </c>
      <c r="AQ92" s="56" t="n">
        <f aca="false">MIN(AG92,MAX(0,N(Debts!$E$12)))</f>
        <v>0</v>
      </c>
      <c r="AR92" s="56" t="n">
        <f aca="false">MIN(AH92,MAX(0,N(Debts!$E$13)))</f>
        <v>0</v>
      </c>
      <c r="AS92" s="56" t="n">
        <f aca="false">MIN(AI92,MAX(0,N(Debts!$E$14)))</f>
        <v>0</v>
      </c>
    </row>
    <row r="93" customFormat="false" ht="15" hidden="false" customHeight="false" outlineLevel="0" collapsed="false">
      <c r="A93" s="53" t="n">
        <v>89</v>
      </c>
      <c r="B93" s="54" t="n">
        <f aca="false">EDATE('Start Here'!$B$8,88)</f>
        <v>49004</v>
      </c>
      <c r="C93" s="42" t="n">
        <f aca="false">SUM(F93:O93)</f>
        <v>0</v>
      </c>
      <c r="D93" s="42" t="n">
        <f aca="false">ROUND(SUM($Z93:$AI93)-SUM(P92:Y92),2)</f>
        <v>0</v>
      </c>
      <c r="E93" s="55" t="n">
        <f aca="false">SUM(P93:Y93)</f>
        <v>0</v>
      </c>
      <c r="F93" s="42" t="n">
        <f aca="false">AJ93+MIN(Z93-AJ93,MAX(0,'Start Here'!$B$10-SUM($AJ93:$AS93)-SUMPRODUCT(($Z$3:$AI$3&lt;Z$3)*($Z93:$AI93-$AJ93:$AS93))))</f>
        <v>0</v>
      </c>
      <c r="G93" s="42" t="n">
        <f aca="false">AK93+MIN(AA93-AK93,MAX(0,'Start Here'!$B$10-SUM($AJ93:$AS93)-SUMPRODUCT(($Z$3:$AI$3&lt;AA$3)*($Z93:$AI93-$AJ93:$AS93))))</f>
        <v>0</v>
      </c>
      <c r="H93" s="42" t="n">
        <f aca="false">AL93+MIN(AB93-AL93,MAX(0,'Start Here'!$B$10-SUM($AJ93:$AS93)-SUMPRODUCT(($Z$3:$AI$3&lt;AB$3)*($Z93:$AI93-$AJ93:$AS93))))</f>
        <v>0</v>
      </c>
      <c r="I93" s="42" t="n">
        <f aca="false">AM93+MIN(AC93-AM93,MAX(0,'Start Here'!$B$10-SUM($AJ93:$AS93)-SUMPRODUCT(($Z$3:$AI$3&lt;AC$3)*($Z93:$AI93-$AJ93:$AS93))))</f>
        <v>0</v>
      </c>
      <c r="J93" s="42" t="n">
        <f aca="false">AN93+MIN(AD93-AN93,MAX(0,'Start Here'!$B$10-SUM($AJ93:$AS93)-SUMPRODUCT(($Z$3:$AI$3&lt;AD$3)*($Z93:$AI93-$AJ93:$AS93))))</f>
        <v>0</v>
      </c>
      <c r="K93" s="42" t="n">
        <f aca="false">AO93+MIN(AE93-AO93,MAX(0,'Start Here'!$B$10-SUM($AJ93:$AS93)-SUMPRODUCT(($Z$3:$AI$3&lt;AE$3)*($Z93:$AI93-$AJ93:$AS93))))</f>
        <v>0</v>
      </c>
      <c r="L93" s="42" t="n">
        <f aca="false">AP93+MIN(AF93-AP93,MAX(0,'Start Here'!$B$10-SUM($AJ93:$AS93)-SUMPRODUCT(($Z$3:$AI$3&lt;AF$3)*($Z93:$AI93-$AJ93:$AS93))))</f>
        <v>0</v>
      </c>
      <c r="M93" s="42" t="n">
        <f aca="false">AQ93+MIN(AG93-AQ93,MAX(0,'Start Here'!$B$10-SUM($AJ93:$AS93)-SUMPRODUCT(($Z$3:$AI$3&lt;AG$3)*($Z93:$AI93-$AJ93:$AS93))))</f>
        <v>0</v>
      </c>
      <c r="N93" s="42" t="n">
        <f aca="false">AR93+MIN(AH93-AR93,MAX(0,'Start Here'!$B$10-SUM($AJ93:$AS93)-SUMPRODUCT(($Z$3:$AI$3&lt;AH$3)*($Z93:$AI93-$AJ93:$AS93))))</f>
        <v>0</v>
      </c>
      <c r="O93" s="42" t="n">
        <f aca="false">AS93+MIN(AI93-AS93,MAX(0,'Start Here'!$B$10-SUM($AJ93:$AS93)-SUMPRODUCT(($Z$3:$AI$3&lt;AI$3)*($Z93:$AI93-$AJ93:$AS93))))</f>
        <v>0</v>
      </c>
      <c r="P93" s="42" t="n">
        <f aca="false">ROUND(Z93-F93,2)</f>
        <v>0</v>
      </c>
      <c r="Q93" s="42" t="n">
        <f aca="false">ROUND(AA93-G93,2)</f>
        <v>0</v>
      </c>
      <c r="R93" s="42" t="n">
        <f aca="false">ROUND(AB93-H93,2)</f>
        <v>0</v>
      </c>
      <c r="S93" s="42" t="n">
        <f aca="false">ROUND(AC93-I93,2)</f>
        <v>0</v>
      </c>
      <c r="T93" s="42" t="n">
        <f aca="false">ROUND(AD93-J93,2)</f>
        <v>0</v>
      </c>
      <c r="U93" s="42" t="n">
        <f aca="false">ROUND(AE93-K93,2)</f>
        <v>0</v>
      </c>
      <c r="V93" s="42" t="n">
        <f aca="false">ROUND(AF93-L93,2)</f>
        <v>0</v>
      </c>
      <c r="W93" s="42" t="n">
        <f aca="false">ROUND(AG93-M93,2)</f>
        <v>0</v>
      </c>
      <c r="X93" s="42" t="n">
        <f aca="false">ROUND(AH93-N93,2)</f>
        <v>0</v>
      </c>
      <c r="Y93" s="42" t="n">
        <f aca="false">ROUND(AI93-O93,2)</f>
        <v>0</v>
      </c>
      <c r="Z93" s="56" t="n">
        <f aca="false">ROUND(P92*(1+N(Debts!$D$5)/12),2)</f>
        <v>0</v>
      </c>
      <c r="AA93" s="56" t="n">
        <f aca="false">ROUND(Q92*(1+N(Debts!$D$6)/12),2)</f>
        <v>0</v>
      </c>
      <c r="AB93" s="56" t="n">
        <f aca="false">ROUND(R92*(1+N(Debts!$D$7)/12),2)</f>
        <v>0</v>
      </c>
      <c r="AC93" s="56" t="n">
        <f aca="false">ROUND(S92*(1+N(Debts!$D$8)/12),2)</f>
        <v>0</v>
      </c>
      <c r="AD93" s="56" t="n">
        <f aca="false">ROUND(T92*(1+N(Debts!$D$9)/12),2)</f>
        <v>0</v>
      </c>
      <c r="AE93" s="56" t="n">
        <f aca="false">ROUND(U92*(1+N(Debts!$D$10)/12),2)</f>
        <v>0</v>
      </c>
      <c r="AF93" s="56" t="n">
        <f aca="false">ROUND(V92*(1+N(Debts!$D$11)/12),2)</f>
        <v>0</v>
      </c>
      <c r="AG93" s="56" t="n">
        <f aca="false">ROUND(W92*(1+N(Debts!$D$12)/12),2)</f>
        <v>0</v>
      </c>
      <c r="AH93" s="56" t="n">
        <f aca="false">ROUND(X92*(1+N(Debts!$D$13)/12),2)</f>
        <v>0</v>
      </c>
      <c r="AI93" s="56" t="n">
        <f aca="false">ROUND(Y92*(1+N(Debts!$D$14)/12),2)</f>
        <v>0</v>
      </c>
      <c r="AJ93" s="56" t="n">
        <f aca="false">MIN(Z93,MAX(0,N(Debts!$E$5)))</f>
        <v>0</v>
      </c>
      <c r="AK93" s="56" t="n">
        <f aca="false">MIN(AA93,MAX(0,N(Debts!$E$6)))</f>
        <v>0</v>
      </c>
      <c r="AL93" s="56" t="n">
        <f aca="false">MIN(AB93,MAX(0,N(Debts!$E$7)))</f>
        <v>0</v>
      </c>
      <c r="AM93" s="56" t="n">
        <f aca="false">MIN(AC93,MAX(0,N(Debts!$E$8)))</f>
        <v>0</v>
      </c>
      <c r="AN93" s="56" t="n">
        <f aca="false">MIN(AD93,MAX(0,N(Debts!$E$9)))</f>
        <v>0</v>
      </c>
      <c r="AO93" s="56" t="n">
        <f aca="false">MIN(AE93,MAX(0,N(Debts!$E$10)))</f>
        <v>0</v>
      </c>
      <c r="AP93" s="56" t="n">
        <f aca="false">MIN(AF93,MAX(0,N(Debts!$E$11)))</f>
        <v>0</v>
      </c>
      <c r="AQ93" s="56" t="n">
        <f aca="false">MIN(AG93,MAX(0,N(Debts!$E$12)))</f>
        <v>0</v>
      </c>
      <c r="AR93" s="56" t="n">
        <f aca="false">MIN(AH93,MAX(0,N(Debts!$E$13)))</f>
        <v>0</v>
      </c>
      <c r="AS93" s="56" t="n">
        <f aca="false">MIN(AI93,MAX(0,N(Debts!$E$14)))</f>
        <v>0</v>
      </c>
    </row>
    <row r="94" customFormat="false" ht="15" hidden="false" customHeight="false" outlineLevel="0" collapsed="false">
      <c r="A94" s="53" t="n">
        <v>90</v>
      </c>
      <c r="B94" s="54" t="n">
        <f aca="false">EDATE('Start Here'!$B$8,89)</f>
        <v>49035</v>
      </c>
      <c r="C94" s="42" t="n">
        <f aca="false">SUM(F94:O94)</f>
        <v>0</v>
      </c>
      <c r="D94" s="42" t="n">
        <f aca="false">ROUND(SUM($Z94:$AI94)-SUM(P93:Y93),2)</f>
        <v>0</v>
      </c>
      <c r="E94" s="55" t="n">
        <f aca="false">SUM(P94:Y94)</f>
        <v>0</v>
      </c>
      <c r="F94" s="42" t="n">
        <f aca="false">AJ94+MIN(Z94-AJ94,MAX(0,'Start Here'!$B$10-SUM($AJ94:$AS94)-SUMPRODUCT(($Z$3:$AI$3&lt;Z$3)*($Z94:$AI94-$AJ94:$AS94))))</f>
        <v>0</v>
      </c>
      <c r="G94" s="42" t="n">
        <f aca="false">AK94+MIN(AA94-AK94,MAX(0,'Start Here'!$B$10-SUM($AJ94:$AS94)-SUMPRODUCT(($Z$3:$AI$3&lt;AA$3)*($Z94:$AI94-$AJ94:$AS94))))</f>
        <v>0</v>
      </c>
      <c r="H94" s="42" t="n">
        <f aca="false">AL94+MIN(AB94-AL94,MAX(0,'Start Here'!$B$10-SUM($AJ94:$AS94)-SUMPRODUCT(($Z$3:$AI$3&lt;AB$3)*($Z94:$AI94-$AJ94:$AS94))))</f>
        <v>0</v>
      </c>
      <c r="I94" s="42" t="n">
        <f aca="false">AM94+MIN(AC94-AM94,MAX(0,'Start Here'!$B$10-SUM($AJ94:$AS94)-SUMPRODUCT(($Z$3:$AI$3&lt;AC$3)*($Z94:$AI94-$AJ94:$AS94))))</f>
        <v>0</v>
      </c>
      <c r="J94" s="42" t="n">
        <f aca="false">AN94+MIN(AD94-AN94,MAX(0,'Start Here'!$B$10-SUM($AJ94:$AS94)-SUMPRODUCT(($Z$3:$AI$3&lt;AD$3)*($Z94:$AI94-$AJ94:$AS94))))</f>
        <v>0</v>
      </c>
      <c r="K94" s="42" t="n">
        <f aca="false">AO94+MIN(AE94-AO94,MAX(0,'Start Here'!$B$10-SUM($AJ94:$AS94)-SUMPRODUCT(($Z$3:$AI$3&lt;AE$3)*($Z94:$AI94-$AJ94:$AS94))))</f>
        <v>0</v>
      </c>
      <c r="L94" s="42" t="n">
        <f aca="false">AP94+MIN(AF94-AP94,MAX(0,'Start Here'!$B$10-SUM($AJ94:$AS94)-SUMPRODUCT(($Z$3:$AI$3&lt;AF$3)*($Z94:$AI94-$AJ94:$AS94))))</f>
        <v>0</v>
      </c>
      <c r="M94" s="42" t="n">
        <f aca="false">AQ94+MIN(AG94-AQ94,MAX(0,'Start Here'!$B$10-SUM($AJ94:$AS94)-SUMPRODUCT(($Z$3:$AI$3&lt;AG$3)*($Z94:$AI94-$AJ94:$AS94))))</f>
        <v>0</v>
      </c>
      <c r="N94" s="42" t="n">
        <f aca="false">AR94+MIN(AH94-AR94,MAX(0,'Start Here'!$B$10-SUM($AJ94:$AS94)-SUMPRODUCT(($Z$3:$AI$3&lt;AH$3)*($Z94:$AI94-$AJ94:$AS94))))</f>
        <v>0</v>
      </c>
      <c r="O94" s="42" t="n">
        <f aca="false">AS94+MIN(AI94-AS94,MAX(0,'Start Here'!$B$10-SUM($AJ94:$AS94)-SUMPRODUCT(($Z$3:$AI$3&lt;AI$3)*($Z94:$AI94-$AJ94:$AS94))))</f>
        <v>0</v>
      </c>
      <c r="P94" s="42" t="n">
        <f aca="false">ROUND(Z94-F94,2)</f>
        <v>0</v>
      </c>
      <c r="Q94" s="42" t="n">
        <f aca="false">ROUND(AA94-G94,2)</f>
        <v>0</v>
      </c>
      <c r="R94" s="42" t="n">
        <f aca="false">ROUND(AB94-H94,2)</f>
        <v>0</v>
      </c>
      <c r="S94" s="42" t="n">
        <f aca="false">ROUND(AC94-I94,2)</f>
        <v>0</v>
      </c>
      <c r="T94" s="42" t="n">
        <f aca="false">ROUND(AD94-J94,2)</f>
        <v>0</v>
      </c>
      <c r="U94" s="42" t="n">
        <f aca="false">ROUND(AE94-K94,2)</f>
        <v>0</v>
      </c>
      <c r="V94" s="42" t="n">
        <f aca="false">ROUND(AF94-L94,2)</f>
        <v>0</v>
      </c>
      <c r="W94" s="42" t="n">
        <f aca="false">ROUND(AG94-M94,2)</f>
        <v>0</v>
      </c>
      <c r="X94" s="42" t="n">
        <f aca="false">ROUND(AH94-N94,2)</f>
        <v>0</v>
      </c>
      <c r="Y94" s="42" t="n">
        <f aca="false">ROUND(AI94-O94,2)</f>
        <v>0</v>
      </c>
      <c r="Z94" s="56" t="n">
        <f aca="false">ROUND(P93*(1+N(Debts!$D$5)/12),2)</f>
        <v>0</v>
      </c>
      <c r="AA94" s="56" t="n">
        <f aca="false">ROUND(Q93*(1+N(Debts!$D$6)/12),2)</f>
        <v>0</v>
      </c>
      <c r="AB94" s="56" t="n">
        <f aca="false">ROUND(R93*(1+N(Debts!$D$7)/12),2)</f>
        <v>0</v>
      </c>
      <c r="AC94" s="56" t="n">
        <f aca="false">ROUND(S93*(1+N(Debts!$D$8)/12),2)</f>
        <v>0</v>
      </c>
      <c r="AD94" s="56" t="n">
        <f aca="false">ROUND(T93*(1+N(Debts!$D$9)/12),2)</f>
        <v>0</v>
      </c>
      <c r="AE94" s="56" t="n">
        <f aca="false">ROUND(U93*(1+N(Debts!$D$10)/12),2)</f>
        <v>0</v>
      </c>
      <c r="AF94" s="56" t="n">
        <f aca="false">ROUND(V93*(1+N(Debts!$D$11)/12),2)</f>
        <v>0</v>
      </c>
      <c r="AG94" s="56" t="n">
        <f aca="false">ROUND(W93*(1+N(Debts!$D$12)/12),2)</f>
        <v>0</v>
      </c>
      <c r="AH94" s="56" t="n">
        <f aca="false">ROUND(X93*(1+N(Debts!$D$13)/12),2)</f>
        <v>0</v>
      </c>
      <c r="AI94" s="56" t="n">
        <f aca="false">ROUND(Y93*(1+N(Debts!$D$14)/12),2)</f>
        <v>0</v>
      </c>
      <c r="AJ94" s="56" t="n">
        <f aca="false">MIN(Z94,MAX(0,N(Debts!$E$5)))</f>
        <v>0</v>
      </c>
      <c r="AK94" s="56" t="n">
        <f aca="false">MIN(AA94,MAX(0,N(Debts!$E$6)))</f>
        <v>0</v>
      </c>
      <c r="AL94" s="56" t="n">
        <f aca="false">MIN(AB94,MAX(0,N(Debts!$E$7)))</f>
        <v>0</v>
      </c>
      <c r="AM94" s="56" t="n">
        <f aca="false">MIN(AC94,MAX(0,N(Debts!$E$8)))</f>
        <v>0</v>
      </c>
      <c r="AN94" s="56" t="n">
        <f aca="false">MIN(AD94,MAX(0,N(Debts!$E$9)))</f>
        <v>0</v>
      </c>
      <c r="AO94" s="56" t="n">
        <f aca="false">MIN(AE94,MAX(0,N(Debts!$E$10)))</f>
        <v>0</v>
      </c>
      <c r="AP94" s="56" t="n">
        <f aca="false">MIN(AF94,MAX(0,N(Debts!$E$11)))</f>
        <v>0</v>
      </c>
      <c r="AQ94" s="56" t="n">
        <f aca="false">MIN(AG94,MAX(0,N(Debts!$E$12)))</f>
        <v>0</v>
      </c>
      <c r="AR94" s="56" t="n">
        <f aca="false">MIN(AH94,MAX(0,N(Debts!$E$13)))</f>
        <v>0</v>
      </c>
      <c r="AS94" s="56" t="n">
        <f aca="false">MIN(AI94,MAX(0,N(Debts!$E$14)))</f>
        <v>0</v>
      </c>
    </row>
    <row r="95" customFormat="false" ht="15" hidden="false" customHeight="false" outlineLevel="0" collapsed="false">
      <c r="A95" s="53" t="n">
        <v>91</v>
      </c>
      <c r="B95" s="54" t="n">
        <f aca="false">EDATE('Start Here'!$B$8,90)</f>
        <v>49065</v>
      </c>
      <c r="C95" s="42" t="n">
        <f aca="false">SUM(F95:O95)</f>
        <v>0</v>
      </c>
      <c r="D95" s="42" t="n">
        <f aca="false">ROUND(SUM($Z95:$AI95)-SUM(P94:Y94),2)</f>
        <v>0</v>
      </c>
      <c r="E95" s="55" t="n">
        <f aca="false">SUM(P95:Y95)</f>
        <v>0</v>
      </c>
      <c r="F95" s="42" t="n">
        <f aca="false">AJ95+MIN(Z95-AJ95,MAX(0,'Start Here'!$B$10-SUM($AJ95:$AS95)-SUMPRODUCT(($Z$3:$AI$3&lt;Z$3)*($Z95:$AI95-$AJ95:$AS95))))</f>
        <v>0</v>
      </c>
      <c r="G95" s="42" t="n">
        <f aca="false">AK95+MIN(AA95-AK95,MAX(0,'Start Here'!$B$10-SUM($AJ95:$AS95)-SUMPRODUCT(($Z$3:$AI$3&lt;AA$3)*($Z95:$AI95-$AJ95:$AS95))))</f>
        <v>0</v>
      </c>
      <c r="H95" s="42" t="n">
        <f aca="false">AL95+MIN(AB95-AL95,MAX(0,'Start Here'!$B$10-SUM($AJ95:$AS95)-SUMPRODUCT(($Z$3:$AI$3&lt;AB$3)*($Z95:$AI95-$AJ95:$AS95))))</f>
        <v>0</v>
      </c>
      <c r="I95" s="42" t="n">
        <f aca="false">AM95+MIN(AC95-AM95,MAX(0,'Start Here'!$B$10-SUM($AJ95:$AS95)-SUMPRODUCT(($Z$3:$AI$3&lt;AC$3)*($Z95:$AI95-$AJ95:$AS95))))</f>
        <v>0</v>
      </c>
      <c r="J95" s="42" t="n">
        <f aca="false">AN95+MIN(AD95-AN95,MAX(0,'Start Here'!$B$10-SUM($AJ95:$AS95)-SUMPRODUCT(($Z$3:$AI$3&lt;AD$3)*($Z95:$AI95-$AJ95:$AS95))))</f>
        <v>0</v>
      </c>
      <c r="K95" s="42" t="n">
        <f aca="false">AO95+MIN(AE95-AO95,MAX(0,'Start Here'!$B$10-SUM($AJ95:$AS95)-SUMPRODUCT(($Z$3:$AI$3&lt;AE$3)*($Z95:$AI95-$AJ95:$AS95))))</f>
        <v>0</v>
      </c>
      <c r="L95" s="42" t="n">
        <f aca="false">AP95+MIN(AF95-AP95,MAX(0,'Start Here'!$B$10-SUM($AJ95:$AS95)-SUMPRODUCT(($Z$3:$AI$3&lt;AF$3)*($Z95:$AI95-$AJ95:$AS95))))</f>
        <v>0</v>
      </c>
      <c r="M95" s="42" t="n">
        <f aca="false">AQ95+MIN(AG95-AQ95,MAX(0,'Start Here'!$B$10-SUM($AJ95:$AS95)-SUMPRODUCT(($Z$3:$AI$3&lt;AG$3)*($Z95:$AI95-$AJ95:$AS95))))</f>
        <v>0</v>
      </c>
      <c r="N95" s="42" t="n">
        <f aca="false">AR95+MIN(AH95-AR95,MAX(0,'Start Here'!$B$10-SUM($AJ95:$AS95)-SUMPRODUCT(($Z$3:$AI$3&lt;AH$3)*($Z95:$AI95-$AJ95:$AS95))))</f>
        <v>0</v>
      </c>
      <c r="O95" s="42" t="n">
        <f aca="false">AS95+MIN(AI95-AS95,MAX(0,'Start Here'!$B$10-SUM($AJ95:$AS95)-SUMPRODUCT(($Z$3:$AI$3&lt;AI$3)*($Z95:$AI95-$AJ95:$AS95))))</f>
        <v>0</v>
      </c>
      <c r="P95" s="42" t="n">
        <f aca="false">ROUND(Z95-F95,2)</f>
        <v>0</v>
      </c>
      <c r="Q95" s="42" t="n">
        <f aca="false">ROUND(AA95-G95,2)</f>
        <v>0</v>
      </c>
      <c r="R95" s="42" t="n">
        <f aca="false">ROUND(AB95-H95,2)</f>
        <v>0</v>
      </c>
      <c r="S95" s="42" t="n">
        <f aca="false">ROUND(AC95-I95,2)</f>
        <v>0</v>
      </c>
      <c r="T95" s="42" t="n">
        <f aca="false">ROUND(AD95-J95,2)</f>
        <v>0</v>
      </c>
      <c r="U95" s="42" t="n">
        <f aca="false">ROUND(AE95-K95,2)</f>
        <v>0</v>
      </c>
      <c r="V95" s="42" t="n">
        <f aca="false">ROUND(AF95-L95,2)</f>
        <v>0</v>
      </c>
      <c r="W95" s="42" t="n">
        <f aca="false">ROUND(AG95-M95,2)</f>
        <v>0</v>
      </c>
      <c r="X95" s="42" t="n">
        <f aca="false">ROUND(AH95-N95,2)</f>
        <v>0</v>
      </c>
      <c r="Y95" s="42" t="n">
        <f aca="false">ROUND(AI95-O95,2)</f>
        <v>0</v>
      </c>
      <c r="Z95" s="56" t="n">
        <f aca="false">ROUND(P94*(1+N(Debts!$D$5)/12),2)</f>
        <v>0</v>
      </c>
      <c r="AA95" s="56" t="n">
        <f aca="false">ROUND(Q94*(1+N(Debts!$D$6)/12),2)</f>
        <v>0</v>
      </c>
      <c r="AB95" s="56" t="n">
        <f aca="false">ROUND(R94*(1+N(Debts!$D$7)/12),2)</f>
        <v>0</v>
      </c>
      <c r="AC95" s="56" t="n">
        <f aca="false">ROUND(S94*(1+N(Debts!$D$8)/12),2)</f>
        <v>0</v>
      </c>
      <c r="AD95" s="56" t="n">
        <f aca="false">ROUND(T94*(1+N(Debts!$D$9)/12),2)</f>
        <v>0</v>
      </c>
      <c r="AE95" s="56" t="n">
        <f aca="false">ROUND(U94*(1+N(Debts!$D$10)/12),2)</f>
        <v>0</v>
      </c>
      <c r="AF95" s="56" t="n">
        <f aca="false">ROUND(V94*(1+N(Debts!$D$11)/12),2)</f>
        <v>0</v>
      </c>
      <c r="AG95" s="56" t="n">
        <f aca="false">ROUND(W94*(1+N(Debts!$D$12)/12),2)</f>
        <v>0</v>
      </c>
      <c r="AH95" s="56" t="n">
        <f aca="false">ROUND(X94*(1+N(Debts!$D$13)/12),2)</f>
        <v>0</v>
      </c>
      <c r="AI95" s="56" t="n">
        <f aca="false">ROUND(Y94*(1+N(Debts!$D$14)/12),2)</f>
        <v>0</v>
      </c>
      <c r="AJ95" s="56" t="n">
        <f aca="false">MIN(Z95,MAX(0,N(Debts!$E$5)))</f>
        <v>0</v>
      </c>
      <c r="AK95" s="56" t="n">
        <f aca="false">MIN(AA95,MAX(0,N(Debts!$E$6)))</f>
        <v>0</v>
      </c>
      <c r="AL95" s="56" t="n">
        <f aca="false">MIN(AB95,MAX(0,N(Debts!$E$7)))</f>
        <v>0</v>
      </c>
      <c r="AM95" s="56" t="n">
        <f aca="false">MIN(AC95,MAX(0,N(Debts!$E$8)))</f>
        <v>0</v>
      </c>
      <c r="AN95" s="56" t="n">
        <f aca="false">MIN(AD95,MAX(0,N(Debts!$E$9)))</f>
        <v>0</v>
      </c>
      <c r="AO95" s="56" t="n">
        <f aca="false">MIN(AE95,MAX(0,N(Debts!$E$10)))</f>
        <v>0</v>
      </c>
      <c r="AP95" s="56" t="n">
        <f aca="false">MIN(AF95,MAX(0,N(Debts!$E$11)))</f>
        <v>0</v>
      </c>
      <c r="AQ95" s="56" t="n">
        <f aca="false">MIN(AG95,MAX(0,N(Debts!$E$12)))</f>
        <v>0</v>
      </c>
      <c r="AR95" s="56" t="n">
        <f aca="false">MIN(AH95,MAX(0,N(Debts!$E$13)))</f>
        <v>0</v>
      </c>
      <c r="AS95" s="56" t="n">
        <f aca="false">MIN(AI95,MAX(0,N(Debts!$E$14)))</f>
        <v>0</v>
      </c>
    </row>
    <row r="96" customFormat="false" ht="15" hidden="false" customHeight="false" outlineLevel="0" collapsed="false">
      <c r="A96" s="53" t="n">
        <v>92</v>
      </c>
      <c r="B96" s="54" t="n">
        <f aca="false">EDATE('Start Here'!$B$8,91)</f>
        <v>49096</v>
      </c>
      <c r="C96" s="42" t="n">
        <f aca="false">SUM(F96:O96)</f>
        <v>0</v>
      </c>
      <c r="D96" s="42" t="n">
        <f aca="false">ROUND(SUM($Z96:$AI96)-SUM(P95:Y95),2)</f>
        <v>0</v>
      </c>
      <c r="E96" s="55" t="n">
        <f aca="false">SUM(P96:Y96)</f>
        <v>0</v>
      </c>
      <c r="F96" s="42" t="n">
        <f aca="false">AJ96+MIN(Z96-AJ96,MAX(0,'Start Here'!$B$10-SUM($AJ96:$AS96)-SUMPRODUCT(($Z$3:$AI$3&lt;Z$3)*($Z96:$AI96-$AJ96:$AS96))))</f>
        <v>0</v>
      </c>
      <c r="G96" s="42" t="n">
        <f aca="false">AK96+MIN(AA96-AK96,MAX(0,'Start Here'!$B$10-SUM($AJ96:$AS96)-SUMPRODUCT(($Z$3:$AI$3&lt;AA$3)*($Z96:$AI96-$AJ96:$AS96))))</f>
        <v>0</v>
      </c>
      <c r="H96" s="42" t="n">
        <f aca="false">AL96+MIN(AB96-AL96,MAX(0,'Start Here'!$B$10-SUM($AJ96:$AS96)-SUMPRODUCT(($Z$3:$AI$3&lt;AB$3)*($Z96:$AI96-$AJ96:$AS96))))</f>
        <v>0</v>
      </c>
      <c r="I96" s="42" t="n">
        <f aca="false">AM96+MIN(AC96-AM96,MAX(0,'Start Here'!$B$10-SUM($AJ96:$AS96)-SUMPRODUCT(($Z$3:$AI$3&lt;AC$3)*($Z96:$AI96-$AJ96:$AS96))))</f>
        <v>0</v>
      </c>
      <c r="J96" s="42" t="n">
        <f aca="false">AN96+MIN(AD96-AN96,MAX(0,'Start Here'!$B$10-SUM($AJ96:$AS96)-SUMPRODUCT(($Z$3:$AI$3&lt;AD$3)*($Z96:$AI96-$AJ96:$AS96))))</f>
        <v>0</v>
      </c>
      <c r="K96" s="42" t="n">
        <f aca="false">AO96+MIN(AE96-AO96,MAX(0,'Start Here'!$B$10-SUM($AJ96:$AS96)-SUMPRODUCT(($Z$3:$AI$3&lt;AE$3)*($Z96:$AI96-$AJ96:$AS96))))</f>
        <v>0</v>
      </c>
      <c r="L96" s="42" t="n">
        <f aca="false">AP96+MIN(AF96-AP96,MAX(0,'Start Here'!$B$10-SUM($AJ96:$AS96)-SUMPRODUCT(($Z$3:$AI$3&lt;AF$3)*($Z96:$AI96-$AJ96:$AS96))))</f>
        <v>0</v>
      </c>
      <c r="M96" s="42" t="n">
        <f aca="false">AQ96+MIN(AG96-AQ96,MAX(0,'Start Here'!$B$10-SUM($AJ96:$AS96)-SUMPRODUCT(($Z$3:$AI$3&lt;AG$3)*($Z96:$AI96-$AJ96:$AS96))))</f>
        <v>0</v>
      </c>
      <c r="N96" s="42" t="n">
        <f aca="false">AR96+MIN(AH96-AR96,MAX(0,'Start Here'!$B$10-SUM($AJ96:$AS96)-SUMPRODUCT(($Z$3:$AI$3&lt;AH$3)*($Z96:$AI96-$AJ96:$AS96))))</f>
        <v>0</v>
      </c>
      <c r="O96" s="42" t="n">
        <f aca="false">AS96+MIN(AI96-AS96,MAX(0,'Start Here'!$B$10-SUM($AJ96:$AS96)-SUMPRODUCT(($Z$3:$AI$3&lt;AI$3)*($Z96:$AI96-$AJ96:$AS96))))</f>
        <v>0</v>
      </c>
      <c r="P96" s="42" t="n">
        <f aca="false">ROUND(Z96-F96,2)</f>
        <v>0</v>
      </c>
      <c r="Q96" s="42" t="n">
        <f aca="false">ROUND(AA96-G96,2)</f>
        <v>0</v>
      </c>
      <c r="R96" s="42" t="n">
        <f aca="false">ROUND(AB96-H96,2)</f>
        <v>0</v>
      </c>
      <c r="S96" s="42" t="n">
        <f aca="false">ROUND(AC96-I96,2)</f>
        <v>0</v>
      </c>
      <c r="T96" s="42" t="n">
        <f aca="false">ROUND(AD96-J96,2)</f>
        <v>0</v>
      </c>
      <c r="U96" s="42" t="n">
        <f aca="false">ROUND(AE96-K96,2)</f>
        <v>0</v>
      </c>
      <c r="V96" s="42" t="n">
        <f aca="false">ROUND(AF96-L96,2)</f>
        <v>0</v>
      </c>
      <c r="W96" s="42" t="n">
        <f aca="false">ROUND(AG96-M96,2)</f>
        <v>0</v>
      </c>
      <c r="X96" s="42" t="n">
        <f aca="false">ROUND(AH96-N96,2)</f>
        <v>0</v>
      </c>
      <c r="Y96" s="42" t="n">
        <f aca="false">ROUND(AI96-O96,2)</f>
        <v>0</v>
      </c>
      <c r="Z96" s="56" t="n">
        <f aca="false">ROUND(P95*(1+N(Debts!$D$5)/12),2)</f>
        <v>0</v>
      </c>
      <c r="AA96" s="56" t="n">
        <f aca="false">ROUND(Q95*(1+N(Debts!$D$6)/12),2)</f>
        <v>0</v>
      </c>
      <c r="AB96" s="56" t="n">
        <f aca="false">ROUND(R95*(1+N(Debts!$D$7)/12),2)</f>
        <v>0</v>
      </c>
      <c r="AC96" s="56" t="n">
        <f aca="false">ROUND(S95*(1+N(Debts!$D$8)/12),2)</f>
        <v>0</v>
      </c>
      <c r="AD96" s="56" t="n">
        <f aca="false">ROUND(T95*(1+N(Debts!$D$9)/12),2)</f>
        <v>0</v>
      </c>
      <c r="AE96" s="56" t="n">
        <f aca="false">ROUND(U95*(1+N(Debts!$D$10)/12),2)</f>
        <v>0</v>
      </c>
      <c r="AF96" s="56" t="n">
        <f aca="false">ROUND(V95*(1+N(Debts!$D$11)/12),2)</f>
        <v>0</v>
      </c>
      <c r="AG96" s="56" t="n">
        <f aca="false">ROUND(W95*(1+N(Debts!$D$12)/12),2)</f>
        <v>0</v>
      </c>
      <c r="AH96" s="56" t="n">
        <f aca="false">ROUND(X95*(1+N(Debts!$D$13)/12),2)</f>
        <v>0</v>
      </c>
      <c r="AI96" s="56" t="n">
        <f aca="false">ROUND(Y95*(1+N(Debts!$D$14)/12),2)</f>
        <v>0</v>
      </c>
      <c r="AJ96" s="56" t="n">
        <f aca="false">MIN(Z96,MAX(0,N(Debts!$E$5)))</f>
        <v>0</v>
      </c>
      <c r="AK96" s="56" t="n">
        <f aca="false">MIN(AA96,MAX(0,N(Debts!$E$6)))</f>
        <v>0</v>
      </c>
      <c r="AL96" s="56" t="n">
        <f aca="false">MIN(AB96,MAX(0,N(Debts!$E$7)))</f>
        <v>0</v>
      </c>
      <c r="AM96" s="56" t="n">
        <f aca="false">MIN(AC96,MAX(0,N(Debts!$E$8)))</f>
        <v>0</v>
      </c>
      <c r="AN96" s="56" t="n">
        <f aca="false">MIN(AD96,MAX(0,N(Debts!$E$9)))</f>
        <v>0</v>
      </c>
      <c r="AO96" s="56" t="n">
        <f aca="false">MIN(AE96,MAX(0,N(Debts!$E$10)))</f>
        <v>0</v>
      </c>
      <c r="AP96" s="56" t="n">
        <f aca="false">MIN(AF96,MAX(0,N(Debts!$E$11)))</f>
        <v>0</v>
      </c>
      <c r="AQ96" s="56" t="n">
        <f aca="false">MIN(AG96,MAX(0,N(Debts!$E$12)))</f>
        <v>0</v>
      </c>
      <c r="AR96" s="56" t="n">
        <f aca="false">MIN(AH96,MAX(0,N(Debts!$E$13)))</f>
        <v>0</v>
      </c>
      <c r="AS96" s="56" t="n">
        <f aca="false">MIN(AI96,MAX(0,N(Debts!$E$14)))</f>
        <v>0</v>
      </c>
    </row>
    <row r="97" customFormat="false" ht="15" hidden="false" customHeight="false" outlineLevel="0" collapsed="false">
      <c r="A97" s="53" t="n">
        <v>93</v>
      </c>
      <c r="B97" s="54" t="n">
        <f aca="false">EDATE('Start Here'!$B$8,92)</f>
        <v>49126</v>
      </c>
      <c r="C97" s="42" t="n">
        <f aca="false">SUM(F97:O97)</f>
        <v>0</v>
      </c>
      <c r="D97" s="42" t="n">
        <f aca="false">ROUND(SUM($Z97:$AI97)-SUM(P96:Y96),2)</f>
        <v>0</v>
      </c>
      <c r="E97" s="55" t="n">
        <f aca="false">SUM(P97:Y97)</f>
        <v>0</v>
      </c>
      <c r="F97" s="42" t="n">
        <f aca="false">AJ97+MIN(Z97-AJ97,MAX(0,'Start Here'!$B$10-SUM($AJ97:$AS97)-SUMPRODUCT(($Z$3:$AI$3&lt;Z$3)*($Z97:$AI97-$AJ97:$AS97))))</f>
        <v>0</v>
      </c>
      <c r="G97" s="42" t="n">
        <f aca="false">AK97+MIN(AA97-AK97,MAX(0,'Start Here'!$B$10-SUM($AJ97:$AS97)-SUMPRODUCT(($Z$3:$AI$3&lt;AA$3)*($Z97:$AI97-$AJ97:$AS97))))</f>
        <v>0</v>
      </c>
      <c r="H97" s="42" t="n">
        <f aca="false">AL97+MIN(AB97-AL97,MAX(0,'Start Here'!$B$10-SUM($AJ97:$AS97)-SUMPRODUCT(($Z$3:$AI$3&lt;AB$3)*($Z97:$AI97-$AJ97:$AS97))))</f>
        <v>0</v>
      </c>
      <c r="I97" s="42" t="n">
        <f aca="false">AM97+MIN(AC97-AM97,MAX(0,'Start Here'!$B$10-SUM($AJ97:$AS97)-SUMPRODUCT(($Z$3:$AI$3&lt;AC$3)*($Z97:$AI97-$AJ97:$AS97))))</f>
        <v>0</v>
      </c>
      <c r="J97" s="42" t="n">
        <f aca="false">AN97+MIN(AD97-AN97,MAX(0,'Start Here'!$B$10-SUM($AJ97:$AS97)-SUMPRODUCT(($Z$3:$AI$3&lt;AD$3)*($Z97:$AI97-$AJ97:$AS97))))</f>
        <v>0</v>
      </c>
      <c r="K97" s="42" t="n">
        <f aca="false">AO97+MIN(AE97-AO97,MAX(0,'Start Here'!$B$10-SUM($AJ97:$AS97)-SUMPRODUCT(($Z$3:$AI$3&lt;AE$3)*($Z97:$AI97-$AJ97:$AS97))))</f>
        <v>0</v>
      </c>
      <c r="L97" s="42" t="n">
        <f aca="false">AP97+MIN(AF97-AP97,MAX(0,'Start Here'!$B$10-SUM($AJ97:$AS97)-SUMPRODUCT(($Z$3:$AI$3&lt;AF$3)*($Z97:$AI97-$AJ97:$AS97))))</f>
        <v>0</v>
      </c>
      <c r="M97" s="42" t="n">
        <f aca="false">AQ97+MIN(AG97-AQ97,MAX(0,'Start Here'!$B$10-SUM($AJ97:$AS97)-SUMPRODUCT(($Z$3:$AI$3&lt;AG$3)*($Z97:$AI97-$AJ97:$AS97))))</f>
        <v>0</v>
      </c>
      <c r="N97" s="42" t="n">
        <f aca="false">AR97+MIN(AH97-AR97,MAX(0,'Start Here'!$B$10-SUM($AJ97:$AS97)-SUMPRODUCT(($Z$3:$AI$3&lt;AH$3)*($Z97:$AI97-$AJ97:$AS97))))</f>
        <v>0</v>
      </c>
      <c r="O97" s="42" t="n">
        <f aca="false">AS97+MIN(AI97-AS97,MAX(0,'Start Here'!$B$10-SUM($AJ97:$AS97)-SUMPRODUCT(($Z$3:$AI$3&lt;AI$3)*($Z97:$AI97-$AJ97:$AS97))))</f>
        <v>0</v>
      </c>
      <c r="P97" s="42" t="n">
        <f aca="false">ROUND(Z97-F97,2)</f>
        <v>0</v>
      </c>
      <c r="Q97" s="42" t="n">
        <f aca="false">ROUND(AA97-G97,2)</f>
        <v>0</v>
      </c>
      <c r="R97" s="42" t="n">
        <f aca="false">ROUND(AB97-H97,2)</f>
        <v>0</v>
      </c>
      <c r="S97" s="42" t="n">
        <f aca="false">ROUND(AC97-I97,2)</f>
        <v>0</v>
      </c>
      <c r="T97" s="42" t="n">
        <f aca="false">ROUND(AD97-J97,2)</f>
        <v>0</v>
      </c>
      <c r="U97" s="42" t="n">
        <f aca="false">ROUND(AE97-K97,2)</f>
        <v>0</v>
      </c>
      <c r="V97" s="42" t="n">
        <f aca="false">ROUND(AF97-L97,2)</f>
        <v>0</v>
      </c>
      <c r="W97" s="42" t="n">
        <f aca="false">ROUND(AG97-M97,2)</f>
        <v>0</v>
      </c>
      <c r="X97" s="42" t="n">
        <f aca="false">ROUND(AH97-N97,2)</f>
        <v>0</v>
      </c>
      <c r="Y97" s="42" t="n">
        <f aca="false">ROUND(AI97-O97,2)</f>
        <v>0</v>
      </c>
      <c r="Z97" s="56" t="n">
        <f aca="false">ROUND(P96*(1+N(Debts!$D$5)/12),2)</f>
        <v>0</v>
      </c>
      <c r="AA97" s="56" t="n">
        <f aca="false">ROUND(Q96*(1+N(Debts!$D$6)/12),2)</f>
        <v>0</v>
      </c>
      <c r="AB97" s="56" t="n">
        <f aca="false">ROUND(R96*(1+N(Debts!$D$7)/12),2)</f>
        <v>0</v>
      </c>
      <c r="AC97" s="56" t="n">
        <f aca="false">ROUND(S96*(1+N(Debts!$D$8)/12),2)</f>
        <v>0</v>
      </c>
      <c r="AD97" s="56" t="n">
        <f aca="false">ROUND(T96*(1+N(Debts!$D$9)/12),2)</f>
        <v>0</v>
      </c>
      <c r="AE97" s="56" t="n">
        <f aca="false">ROUND(U96*(1+N(Debts!$D$10)/12),2)</f>
        <v>0</v>
      </c>
      <c r="AF97" s="56" t="n">
        <f aca="false">ROUND(V96*(1+N(Debts!$D$11)/12),2)</f>
        <v>0</v>
      </c>
      <c r="AG97" s="56" t="n">
        <f aca="false">ROUND(W96*(1+N(Debts!$D$12)/12),2)</f>
        <v>0</v>
      </c>
      <c r="AH97" s="56" t="n">
        <f aca="false">ROUND(X96*(1+N(Debts!$D$13)/12),2)</f>
        <v>0</v>
      </c>
      <c r="AI97" s="56" t="n">
        <f aca="false">ROUND(Y96*(1+N(Debts!$D$14)/12),2)</f>
        <v>0</v>
      </c>
      <c r="AJ97" s="56" t="n">
        <f aca="false">MIN(Z97,MAX(0,N(Debts!$E$5)))</f>
        <v>0</v>
      </c>
      <c r="AK97" s="56" t="n">
        <f aca="false">MIN(AA97,MAX(0,N(Debts!$E$6)))</f>
        <v>0</v>
      </c>
      <c r="AL97" s="56" t="n">
        <f aca="false">MIN(AB97,MAX(0,N(Debts!$E$7)))</f>
        <v>0</v>
      </c>
      <c r="AM97" s="56" t="n">
        <f aca="false">MIN(AC97,MAX(0,N(Debts!$E$8)))</f>
        <v>0</v>
      </c>
      <c r="AN97" s="56" t="n">
        <f aca="false">MIN(AD97,MAX(0,N(Debts!$E$9)))</f>
        <v>0</v>
      </c>
      <c r="AO97" s="56" t="n">
        <f aca="false">MIN(AE97,MAX(0,N(Debts!$E$10)))</f>
        <v>0</v>
      </c>
      <c r="AP97" s="56" t="n">
        <f aca="false">MIN(AF97,MAX(0,N(Debts!$E$11)))</f>
        <v>0</v>
      </c>
      <c r="AQ97" s="56" t="n">
        <f aca="false">MIN(AG97,MAX(0,N(Debts!$E$12)))</f>
        <v>0</v>
      </c>
      <c r="AR97" s="56" t="n">
        <f aca="false">MIN(AH97,MAX(0,N(Debts!$E$13)))</f>
        <v>0</v>
      </c>
      <c r="AS97" s="56" t="n">
        <f aca="false">MIN(AI97,MAX(0,N(Debts!$E$14)))</f>
        <v>0</v>
      </c>
    </row>
    <row r="98" customFormat="false" ht="15" hidden="false" customHeight="false" outlineLevel="0" collapsed="false">
      <c r="A98" s="53" t="n">
        <v>94</v>
      </c>
      <c r="B98" s="54" t="n">
        <f aca="false">EDATE('Start Here'!$B$8,93)</f>
        <v>49157</v>
      </c>
      <c r="C98" s="42" t="n">
        <f aca="false">SUM(F98:O98)</f>
        <v>0</v>
      </c>
      <c r="D98" s="42" t="n">
        <f aca="false">ROUND(SUM($Z98:$AI98)-SUM(P97:Y97),2)</f>
        <v>0</v>
      </c>
      <c r="E98" s="55" t="n">
        <f aca="false">SUM(P98:Y98)</f>
        <v>0</v>
      </c>
      <c r="F98" s="42" t="n">
        <f aca="false">AJ98+MIN(Z98-AJ98,MAX(0,'Start Here'!$B$10-SUM($AJ98:$AS98)-SUMPRODUCT(($Z$3:$AI$3&lt;Z$3)*($Z98:$AI98-$AJ98:$AS98))))</f>
        <v>0</v>
      </c>
      <c r="G98" s="42" t="n">
        <f aca="false">AK98+MIN(AA98-AK98,MAX(0,'Start Here'!$B$10-SUM($AJ98:$AS98)-SUMPRODUCT(($Z$3:$AI$3&lt;AA$3)*($Z98:$AI98-$AJ98:$AS98))))</f>
        <v>0</v>
      </c>
      <c r="H98" s="42" t="n">
        <f aca="false">AL98+MIN(AB98-AL98,MAX(0,'Start Here'!$B$10-SUM($AJ98:$AS98)-SUMPRODUCT(($Z$3:$AI$3&lt;AB$3)*($Z98:$AI98-$AJ98:$AS98))))</f>
        <v>0</v>
      </c>
      <c r="I98" s="42" t="n">
        <f aca="false">AM98+MIN(AC98-AM98,MAX(0,'Start Here'!$B$10-SUM($AJ98:$AS98)-SUMPRODUCT(($Z$3:$AI$3&lt;AC$3)*($Z98:$AI98-$AJ98:$AS98))))</f>
        <v>0</v>
      </c>
      <c r="J98" s="42" t="n">
        <f aca="false">AN98+MIN(AD98-AN98,MAX(0,'Start Here'!$B$10-SUM($AJ98:$AS98)-SUMPRODUCT(($Z$3:$AI$3&lt;AD$3)*($Z98:$AI98-$AJ98:$AS98))))</f>
        <v>0</v>
      </c>
      <c r="K98" s="42" t="n">
        <f aca="false">AO98+MIN(AE98-AO98,MAX(0,'Start Here'!$B$10-SUM($AJ98:$AS98)-SUMPRODUCT(($Z$3:$AI$3&lt;AE$3)*($Z98:$AI98-$AJ98:$AS98))))</f>
        <v>0</v>
      </c>
      <c r="L98" s="42" t="n">
        <f aca="false">AP98+MIN(AF98-AP98,MAX(0,'Start Here'!$B$10-SUM($AJ98:$AS98)-SUMPRODUCT(($Z$3:$AI$3&lt;AF$3)*($Z98:$AI98-$AJ98:$AS98))))</f>
        <v>0</v>
      </c>
      <c r="M98" s="42" t="n">
        <f aca="false">AQ98+MIN(AG98-AQ98,MAX(0,'Start Here'!$B$10-SUM($AJ98:$AS98)-SUMPRODUCT(($Z$3:$AI$3&lt;AG$3)*($Z98:$AI98-$AJ98:$AS98))))</f>
        <v>0</v>
      </c>
      <c r="N98" s="42" t="n">
        <f aca="false">AR98+MIN(AH98-AR98,MAX(0,'Start Here'!$B$10-SUM($AJ98:$AS98)-SUMPRODUCT(($Z$3:$AI$3&lt;AH$3)*($Z98:$AI98-$AJ98:$AS98))))</f>
        <v>0</v>
      </c>
      <c r="O98" s="42" t="n">
        <f aca="false">AS98+MIN(AI98-AS98,MAX(0,'Start Here'!$B$10-SUM($AJ98:$AS98)-SUMPRODUCT(($Z$3:$AI$3&lt;AI$3)*($Z98:$AI98-$AJ98:$AS98))))</f>
        <v>0</v>
      </c>
      <c r="P98" s="42" t="n">
        <f aca="false">ROUND(Z98-F98,2)</f>
        <v>0</v>
      </c>
      <c r="Q98" s="42" t="n">
        <f aca="false">ROUND(AA98-G98,2)</f>
        <v>0</v>
      </c>
      <c r="R98" s="42" t="n">
        <f aca="false">ROUND(AB98-H98,2)</f>
        <v>0</v>
      </c>
      <c r="S98" s="42" t="n">
        <f aca="false">ROUND(AC98-I98,2)</f>
        <v>0</v>
      </c>
      <c r="T98" s="42" t="n">
        <f aca="false">ROUND(AD98-J98,2)</f>
        <v>0</v>
      </c>
      <c r="U98" s="42" t="n">
        <f aca="false">ROUND(AE98-K98,2)</f>
        <v>0</v>
      </c>
      <c r="V98" s="42" t="n">
        <f aca="false">ROUND(AF98-L98,2)</f>
        <v>0</v>
      </c>
      <c r="W98" s="42" t="n">
        <f aca="false">ROUND(AG98-M98,2)</f>
        <v>0</v>
      </c>
      <c r="X98" s="42" t="n">
        <f aca="false">ROUND(AH98-N98,2)</f>
        <v>0</v>
      </c>
      <c r="Y98" s="42" t="n">
        <f aca="false">ROUND(AI98-O98,2)</f>
        <v>0</v>
      </c>
      <c r="Z98" s="56" t="n">
        <f aca="false">ROUND(P97*(1+N(Debts!$D$5)/12),2)</f>
        <v>0</v>
      </c>
      <c r="AA98" s="56" t="n">
        <f aca="false">ROUND(Q97*(1+N(Debts!$D$6)/12),2)</f>
        <v>0</v>
      </c>
      <c r="AB98" s="56" t="n">
        <f aca="false">ROUND(R97*(1+N(Debts!$D$7)/12),2)</f>
        <v>0</v>
      </c>
      <c r="AC98" s="56" t="n">
        <f aca="false">ROUND(S97*(1+N(Debts!$D$8)/12),2)</f>
        <v>0</v>
      </c>
      <c r="AD98" s="56" t="n">
        <f aca="false">ROUND(T97*(1+N(Debts!$D$9)/12),2)</f>
        <v>0</v>
      </c>
      <c r="AE98" s="56" t="n">
        <f aca="false">ROUND(U97*(1+N(Debts!$D$10)/12),2)</f>
        <v>0</v>
      </c>
      <c r="AF98" s="56" t="n">
        <f aca="false">ROUND(V97*(1+N(Debts!$D$11)/12),2)</f>
        <v>0</v>
      </c>
      <c r="AG98" s="56" t="n">
        <f aca="false">ROUND(W97*(1+N(Debts!$D$12)/12),2)</f>
        <v>0</v>
      </c>
      <c r="AH98" s="56" t="n">
        <f aca="false">ROUND(X97*(1+N(Debts!$D$13)/12),2)</f>
        <v>0</v>
      </c>
      <c r="AI98" s="56" t="n">
        <f aca="false">ROUND(Y97*(1+N(Debts!$D$14)/12),2)</f>
        <v>0</v>
      </c>
      <c r="AJ98" s="56" t="n">
        <f aca="false">MIN(Z98,MAX(0,N(Debts!$E$5)))</f>
        <v>0</v>
      </c>
      <c r="AK98" s="56" t="n">
        <f aca="false">MIN(AA98,MAX(0,N(Debts!$E$6)))</f>
        <v>0</v>
      </c>
      <c r="AL98" s="56" t="n">
        <f aca="false">MIN(AB98,MAX(0,N(Debts!$E$7)))</f>
        <v>0</v>
      </c>
      <c r="AM98" s="56" t="n">
        <f aca="false">MIN(AC98,MAX(0,N(Debts!$E$8)))</f>
        <v>0</v>
      </c>
      <c r="AN98" s="56" t="n">
        <f aca="false">MIN(AD98,MAX(0,N(Debts!$E$9)))</f>
        <v>0</v>
      </c>
      <c r="AO98" s="56" t="n">
        <f aca="false">MIN(AE98,MAX(0,N(Debts!$E$10)))</f>
        <v>0</v>
      </c>
      <c r="AP98" s="56" t="n">
        <f aca="false">MIN(AF98,MAX(0,N(Debts!$E$11)))</f>
        <v>0</v>
      </c>
      <c r="AQ98" s="56" t="n">
        <f aca="false">MIN(AG98,MAX(0,N(Debts!$E$12)))</f>
        <v>0</v>
      </c>
      <c r="AR98" s="56" t="n">
        <f aca="false">MIN(AH98,MAX(0,N(Debts!$E$13)))</f>
        <v>0</v>
      </c>
      <c r="AS98" s="56" t="n">
        <f aca="false">MIN(AI98,MAX(0,N(Debts!$E$14)))</f>
        <v>0</v>
      </c>
    </row>
    <row r="99" customFormat="false" ht="15" hidden="false" customHeight="false" outlineLevel="0" collapsed="false">
      <c r="A99" s="53" t="n">
        <v>95</v>
      </c>
      <c r="B99" s="54" t="n">
        <f aca="false">EDATE('Start Here'!$B$8,94)</f>
        <v>49188</v>
      </c>
      <c r="C99" s="42" t="n">
        <f aca="false">SUM(F99:O99)</f>
        <v>0</v>
      </c>
      <c r="D99" s="42" t="n">
        <f aca="false">ROUND(SUM($Z99:$AI99)-SUM(P98:Y98),2)</f>
        <v>0</v>
      </c>
      <c r="E99" s="55" t="n">
        <f aca="false">SUM(P99:Y99)</f>
        <v>0</v>
      </c>
      <c r="F99" s="42" t="n">
        <f aca="false">AJ99+MIN(Z99-AJ99,MAX(0,'Start Here'!$B$10-SUM($AJ99:$AS99)-SUMPRODUCT(($Z$3:$AI$3&lt;Z$3)*($Z99:$AI99-$AJ99:$AS99))))</f>
        <v>0</v>
      </c>
      <c r="G99" s="42" t="n">
        <f aca="false">AK99+MIN(AA99-AK99,MAX(0,'Start Here'!$B$10-SUM($AJ99:$AS99)-SUMPRODUCT(($Z$3:$AI$3&lt;AA$3)*($Z99:$AI99-$AJ99:$AS99))))</f>
        <v>0</v>
      </c>
      <c r="H99" s="42" t="n">
        <f aca="false">AL99+MIN(AB99-AL99,MAX(0,'Start Here'!$B$10-SUM($AJ99:$AS99)-SUMPRODUCT(($Z$3:$AI$3&lt;AB$3)*($Z99:$AI99-$AJ99:$AS99))))</f>
        <v>0</v>
      </c>
      <c r="I99" s="42" t="n">
        <f aca="false">AM99+MIN(AC99-AM99,MAX(0,'Start Here'!$B$10-SUM($AJ99:$AS99)-SUMPRODUCT(($Z$3:$AI$3&lt;AC$3)*($Z99:$AI99-$AJ99:$AS99))))</f>
        <v>0</v>
      </c>
      <c r="J99" s="42" t="n">
        <f aca="false">AN99+MIN(AD99-AN99,MAX(0,'Start Here'!$B$10-SUM($AJ99:$AS99)-SUMPRODUCT(($Z$3:$AI$3&lt;AD$3)*($Z99:$AI99-$AJ99:$AS99))))</f>
        <v>0</v>
      </c>
      <c r="K99" s="42" t="n">
        <f aca="false">AO99+MIN(AE99-AO99,MAX(0,'Start Here'!$B$10-SUM($AJ99:$AS99)-SUMPRODUCT(($Z$3:$AI$3&lt;AE$3)*($Z99:$AI99-$AJ99:$AS99))))</f>
        <v>0</v>
      </c>
      <c r="L99" s="42" t="n">
        <f aca="false">AP99+MIN(AF99-AP99,MAX(0,'Start Here'!$B$10-SUM($AJ99:$AS99)-SUMPRODUCT(($Z$3:$AI$3&lt;AF$3)*($Z99:$AI99-$AJ99:$AS99))))</f>
        <v>0</v>
      </c>
      <c r="M99" s="42" t="n">
        <f aca="false">AQ99+MIN(AG99-AQ99,MAX(0,'Start Here'!$B$10-SUM($AJ99:$AS99)-SUMPRODUCT(($Z$3:$AI$3&lt;AG$3)*($Z99:$AI99-$AJ99:$AS99))))</f>
        <v>0</v>
      </c>
      <c r="N99" s="42" t="n">
        <f aca="false">AR99+MIN(AH99-AR99,MAX(0,'Start Here'!$B$10-SUM($AJ99:$AS99)-SUMPRODUCT(($Z$3:$AI$3&lt;AH$3)*($Z99:$AI99-$AJ99:$AS99))))</f>
        <v>0</v>
      </c>
      <c r="O99" s="42" t="n">
        <f aca="false">AS99+MIN(AI99-AS99,MAX(0,'Start Here'!$B$10-SUM($AJ99:$AS99)-SUMPRODUCT(($Z$3:$AI$3&lt;AI$3)*($Z99:$AI99-$AJ99:$AS99))))</f>
        <v>0</v>
      </c>
      <c r="P99" s="42" t="n">
        <f aca="false">ROUND(Z99-F99,2)</f>
        <v>0</v>
      </c>
      <c r="Q99" s="42" t="n">
        <f aca="false">ROUND(AA99-G99,2)</f>
        <v>0</v>
      </c>
      <c r="R99" s="42" t="n">
        <f aca="false">ROUND(AB99-H99,2)</f>
        <v>0</v>
      </c>
      <c r="S99" s="42" t="n">
        <f aca="false">ROUND(AC99-I99,2)</f>
        <v>0</v>
      </c>
      <c r="T99" s="42" t="n">
        <f aca="false">ROUND(AD99-J99,2)</f>
        <v>0</v>
      </c>
      <c r="U99" s="42" t="n">
        <f aca="false">ROUND(AE99-K99,2)</f>
        <v>0</v>
      </c>
      <c r="V99" s="42" t="n">
        <f aca="false">ROUND(AF99-L99,2)</f>
        <v>0</v>
      </c>
      <c r="W99" s="42" t="n">
        <f aca="false">ROUND(AG99-M99,2)</f>
        <v>0</v>
      </c>
      <c r="X99" s="42" t="n">
        <f aca="false">ROUND(AH99-N99,2)</f>
        <v>0</v>
      </c>
      <c r="Y99" s="42" t="n">
        <f aca="false">ROUND(AI99-O99,2)</f>
        <v>0</v>
      </c>
      <c r="Z99" s="56" t="n">
        <f aca="false">ROUND(P98*(1+N(Debts!$D$5)/12),2)</f>
        <v>0</v>
      </c>
      <c r="AA99" s="56" t="n">
        <f aca="false">ROUND(Q98*(1+N(Debts!$D$6)/12),2)</f>
        <v>0</v>
      </c>
      <c r="AB99" s="56" t="n">
        <f aca="false">ROUND(R98*(1+N(Debts!$D$7)/12),2)</f>
        <v>0</v>
      </c>
      <c r="AC99" s="56" t="n">
        <f aca="false">ROUND(S98*(1+N(Debts!$D$8)/12),2)</f>
        <v>0</v>
      </c>
      <c r="AD99" s="56" t="n">
        <f aca="false">ROUND(T98*(1+N(Debts!$D$9)/12),2)</f>
        <v>0</v>
      </c>
      <c r="AE99" s="56" t="n">
        <f aca="false">ROUND(U98*(1+N(Debts!$D$10)/12),2)</f>
        <v>0</v>
      </c>
      <c r="AF99" s="56" t="n">
        <f aca="false">ROUND(V98*(1+N(Debts!$D$11)/12),2)</f>
        <v>0</v>
      </c>
      <c r="AG99" s="56" t="n">
        <f aca="false">ROUND(W98*(1+N(Debts!$D$12)/12),2)</f>
        <v>0</v>
      </c>
      <c r="AH99" s="56" t="n">
        <f aca="false">ROUND(X98*(1+N(Debts!$D$13)/12),2)</f>
        <v>0</v>
      </c>
      <c r="AI99" s="56" t="n">
        <f aca="false">ROUND(Y98*(1+N(Debts!$D$14)/12),2)</f>
        <v>0</v>
      </c>
      <c r="AJ99" s="56" t="n">
        <f aca="false">MIN(Z99,MAX(0,N(Debts!$E$5)))</f>
        <v>0</v>
      </c>
      <c r="AK99" s="56" t="n">
        <f aca="false">MIN(AA99,MAX(0,N(Debts!$E$6)))</f>
        <v>0</v>
      </c>
      <c r="AL99" s="56" t="n">
        <f aca="false">MIN(AB99,MAX(0,N(Debts!$E$7)))</f>
        <v>0</v>
      </c>
      <c r="AM99" s="56" t="n">
        <f aca="false">MIN(AC99,MAX(0,N(Debts!$E$8)))</f>
        <v>0</v>
      </c>
      <c r="AN99" s="56" t="n">
        <f aca="false">MIN(AD99,MAX(0,N(Debts!$E$9)))</f>
        <v>0</v>
      </c>
      <c r="AO99" s="56" t="n">
        <f aca="false">MIN(AE99,MAX(0,N(Debts!$E$10)))</f>
        <v>0</v>
      </c>
      <c r="AP99" s="56" t="n">
        <f aca="false">MIN(AF99,MAX(0,N(Debts!$E$11)))</f>
        <v>0</v>
      </c>
      <c r="AQ99" s="56" t="n">
        <f aca="false">MIN(AG99,MAX(0,N(Debts!$E$12)))</f>
        <v>0</v>
      </c>
      <c r="AR99" s="56" t="n">
        <f aca="false">MIN(AH99,MAX(0,N(Debts!$E$13)))</f>
        <v>0</v>
      </c>
      <c r="AS99" s="56" t="n">
        <f aca="false">MIN(AI99,MAX(0,N(Debts!$E$14)))</f>
        <v>0</v>
      </c>
    </row>
    <row r="100" customFormat="false" ht="15" hidden="false" customHeight="false" outlineLevel="0" collapsed="false">
      <c r="A100" s="53" t="n">
        <v>96</v>
      </c>
      <c r="B100" s="54" t="n">
        <f aca="false">EDATE('Start Here'!$B$8,95)</f>
        <v>49218</v>
      </c>
      <c r="C100" s="42" t="n">
        <f aca="false">SUM(F100:O100)</f>
        <v>0</v>
      </c>
      <c r="D100" s="42" t="n">
        <f aca="false">ROUND(SUM($Z100:$AI100)-SUM(P99:Y99),2)</f>
        <v>0</v>
      </c>
      <c r="E100" s="55" t="n">
        <f aca="false">SUM(P100:Y100)</f>
        <v>0</v>
      </c>
      <c r="F100" s="42" t="n">
        <f aca="false">AJ100+MIN(Z100-AJ100,MAX(0,'Start Here'!$B$10-SUM($AJ100:$AS100)-SUMPRODUCT(($Z$3:$AI$3&lt;Z$3)*($Z100:$AI100-$AJ100:$AS100))))</f>
        <v>0</v>
      </c>
      <c r="G100" s="42" t="n">
        <f aca="false">AK100+MIN(AA100-AK100,MAX(0,'Start Here'!$B$10-SUM($AJ100:$AS100)-SUMPRODUCT(($Z$3:$AI$3&lt;AA$3)*($Z100:$AI100-$AJ100:$AS100))))</f>
        <v>0</v>
      </c>
      <c r="H100" s="42" t="n">
        <f aca="false">AL100+MIN(AB100-AL100,MAX(0,'Start Here'!$B$10-SUM($AJ100:$AS100)-SUMPRODUCT(($Z$3:$AI$3&lt;AB$3)*($Z100:$AI100-$AJ100:$AS100))))</f>
        <v>0</v>
      </c>
      <c r="I100" s="42" t="n">
        <f aca="false">AM100+MIN(AC100-AM100,MAX(0,'Start Here'!$B$10-SUM($AJ100:$AS100)-SUMPRODUCT(($Z$3:$AI$3&lt;AC$3)*($Z100:$AI100-$AJ100:$AS100))))</f>
        <v>0</v>
      </c>
      <c r="J100" s="42" t="n">
        <f aca="false">AN100+MIN(AD100-AN100,MAX(0,'Start Here'!$B$10-SUM($AJ100:$AS100)-SUMPRODUCT(($Z$3:$AI$3&lt;AD$3)*($Z100:$AI100-$AJ100:$AS100))))</f>
        <v>0</v>
      </c>
      <c r="K100" s="42" t="n">
        <f aca="false">AO100+MIN(AE100-AO100,MAX(0,'Start Here'!$B$10-SUM($AJ100:$AS100)-SUMPRODUCT(($Z$3:$AI$3&lt;AE$3)*($Z100:$AI100-$AJ100:$AS100))))</f>
        <v>0</v>
      </c>
      <c r="L100" s="42" t="n">
        <f aca="false">AP100+MIN(AF100-AP100,MAX(0,'Start Here'!$B$10-SUM($AJ100:$AS100)-SUMPRODUCT(($Z$3:$AI$3&lt;AF$3)*($Z100:$AI100-$AJ100:$AS100))))</f>
        <v>0</v>
      </c>
      <c r="M100" s="42" t="n">
        <f aca="false">AQ100+MIN(AG100-AQ100,MAX(0,'Start Here'!$B$10-SUM($AJ100:$AS100)-SUMPRODUCT(($Z$3:$AI$3&lt;AG$3)*($Z100:$AI100-$AJ100:$AS100))))</f>
        <v>0</v>
      </c>
      <c r="N100" s="42" t="n">
        <f aca="false">AR100+MIN(AH100-AR100,MAX(0,'Start Here'!$B$10-SUM($AJ100:$AS100)-SUMPRODUCT(($Z$3:$AI$3&lt;AH$3)*($Z100:$AI100-$AJ100:$AS100))))</f>
        <v>0</v>
      </c>
      <c r="O100" s="42" t="n">
        <f aca="false">AS100+MIN(AI100-AS100,MAX(0,'Start Here'!$B$10-SUM($AJ100:$AS100)-SUMPRODUCT(($Z$3:$AI$3&lt;AI$3)*($Z100:$AI100-$AJ100:$AS100))))</f>
        <v>0</v>
      </c>
      <c r="P100" s="42" t="n">
        <f aca="false">ROUND(Z100-F100,2)</f>
        <v>0</v>
      </c>
      <c r="Q100" s="42" t="n">
        <f aca="false">ROUND(AA100-G100,2)</f>
        <v>0</v>
      </c>
      <c r="R100" s="42" t="n">
        <f aca="false">ROUND(AB100-H100,2)</f>
        <v>0</v>
      </c>
      <c r="S100" s="42" t="n">
        <f aca="false">ROUND(AC100-I100,2)</f>
        <v>0</v>
      </c>
      <c r="T100" s="42" t="n">
        <f aca="false">ROUND(AD100-J100,2)</f>
        <v>0</v>
      </c>
      <c r="U100" s="42" t="n">
        <f aca="false">ROUND(AE100-K100,2)</f>
        <v>0</v>
      </c>
      <c r="V100" s="42" t="n">
        <f aca="false">ROUND(AF100-L100,2)</f>
        <v>0</v>
      </c>
      <c r="W100" s="42" t="n">
        <f aca="false">ROUND(AG100-M100,2)</f>
        <v>0</v>
      </c>
      <c r="X100" s="42" t="n">
        <f aca="false">ROUND(AH100-N100,2)</f>
        <v>0</v>
      </c>
      <c r="Y100" s="42" t="n">
        <f aca="false">ROUND(AI100-O100,2)</f>
        <v>0</v>
      </c>
      <c r="Z100" s="56" t="n">
        <f aca="false">ROUND(P99*(1+N(Debts!$D$5)/12),2)</f>
        <v>0</v>
      </c>
      <c r="AA100" s="56" t="n">
        <f aca="false">ROUND(Q99*(1+N(Debts!$D$6)/12),2)</f>
        <v>0</v>
      </c>
      <c r="AB100" s="56" t="n">
        <f aca="false">ROUND(R99*(1+N(Debts!$D$7)/12),2)</f>
        <v>0</v>
      </c>
      <c r="AC100" s="56" t="n">
        <f aca="false">ROUND(S99*(1+N(Debts!$D$8)/12),2)</f>
        <v>0</v>
      </c>
      <c r="AD100" s="56" t="n">
        <f aca="false">ROUND(T99*(1+N(Debts!$D$9)/12),2)</f>
        <v>0</v>
      </c>
      <c r="AE100" s="56" t="n">
        <f aca="false">ROUND(U99*(1+N(Debts!$D$10)/12),2)</f>
        <v>0</v>
      </c>
      <c r="AF100" s="56" t="n">
        <f aca="false">ROUND(V99*(1+N(Debts!$D$11)/12),2)</f>
        <v>0</v>
      </c>
      <c r="AG100" s="56" t="n">
        <f aca="false">ROUND(W99*(1+N(Debts!$D$12)/12),2)</f>
        <v>0</v>
      </c>
      <c r="AH100" s="56" t="n">
        <f aca="false">ROUND(X99*(1+N(Debts!$D$13)/12),2)</f>
        <v>0</v>
      </c>
      <c r="AI100" s="56" t="n">
        <f aca="false">ROUND(Y99*(1+N(Debts!$D$14)/12),2)</f>
        <v>0</v>
      </c>
      <c r="AJ100" s="56" t="n">
        <f aca="false">MIN(Z100,MAX(0,N(Debts!$E$5)))</f>
        <v>0</v>
      </c>
      <c r="AK100" s="56" t="n">
        <f aca="false">MIN(AA100,MAX(0,N(Debts!$E$6)))</f>
        <v>0</v>
      </c>
      <c r="AL100" s="56" t="n">
        <f aca="false">MIN(AB100,MAX(0,N(Debts!$E$7)))</f>
        <v>0</v>
      </c>
      <c r="AM100" s="56" t="n">
        <f aca="false">MIN(AC100,MAX(0,N(Debts!$E$8)))</f>
        <v>0</v>
      </c>
      <c r="AN100" s="56" t="n">
        <f aca="false">MIN(AD100,MAX(0,N(Debts!$E$9)))</f>
        <v>0</v>
      </c>
      <c r="AO100" s="56" t="n">
        <f aca="false">MIN(AE100,MAX(0,N(Debts!$E$10)))</f>
        <v>0</v>
      </c>
      <c r="AP100" s="56" t="n">
        <f aca="false">MIN(AF100,MAX(0,N(Debts!$E$11)))</f>
        <v>0</v>
      </c>
      <c r="AQ100" s="56" t="n">
        <f aca="false">MIN(AG100,MAX(0,N(Debts!$E$12)))</f>
        <v>0</v>
      </c>
      <c r="AR100" s="56" t="n">
        <f aca="false">MIN(AH100,MAX(0,N(Debts!$E$13)))</f>
        <v>0</v>
      </c>
      <c r="AS100" s="56" t="n">
        <f aca="false">MIN(AI100,MAX(0,N(Debts!$E$14)))</f>
        <v>0</v>
      </c>
    </row>
    <row r="101" customFormat="false" ht="15" hidden="false" customHeight="false" outlineLevel="0" collapsed="false">
      <c r="A101" s="53" t="n">
        <v>97</v>
      </c>
      <c r="B101" s="54" t="n">
        <f aca="false">EDATE('Start Here'!$B$8,96)</f>
        <v>49249</v>
      </c>
      <c r="C101" s="42" t="n">
        <f aca="false">SUM(F101:O101)</f>
        <v>0</v>
      </c>
      <c r="D101" s="42" t="n">
        <f aca="false">ROUND(SUM($Z101:$AI101)-SUM(P100:Y100),2)</f>
        <v>0</v>
      </c>
      <c r="E101" s="55" t="n">
        <f aca="false">SUM(P101:Y101)</f>
        <v>0</v>
      </c>
      <c r="F101" s="42" t="n">
        <f aca="false">AJ101+MIN(Z101-AJ101,MAX(0,'Start Here'!$B$10-SUM($AJ101:$AS101)-SUMPRODUCT(($Z$3:$AI$3&lt;Z$3)*($Z101:$AI101-$AJ101:$AS101))))</f>
        <v>0</v>
      </c>
      <c r="G101" s="42" t="n">
        <f aca="false">AK101+MIN(AA101-AK101,MAX(0,'Start Here'!$B$10-SUM($AJ101:$AS101)-SUMPRODUCT(($Z$3:$AI$3&lt;AA$3)*($Z101:$AI101-$AJ101:$AS101))))</f>
        <v>0</v>
      </c>
      <c r="H101" s="42" t="n">
        <f aca="false">AL101+MIN(AB101-AL101,MAX(0,'Start Here'!$B$10-SUM($AJ101:$AS101)-SUMPRODUCT(($Z$3:$AI$3&lt;AB$3)*($Z101:$AI101-$AJ101:$AS101))))</f>
        <v>0</v>
      </c>
      <c r="I101" s="42" t="n">
        <f aca="false">AM101+MIN(AC101-AM101,MAX(0,'Start Here'!$B$10-SUM($AJ101:$AS101)-SUMPRODUCT(($Z$3:$AI$3&lt;AC$3)*($Z101:$AI101-$AJ101:$AS101))))</f>
        <v>0</v>
      </c>
      <c r="J101" s="42" t="n">
        <f aca="false">AN101+MIN(AD101-AN101,MAX(0,'Start Here'!$B$10-SUM($AJ101:$AS101)-SUMPRODUCT(($Z$3:$AI$3&lt;AD$3)*($Z101:$AI101-$AJ101:$AS101))))</f>
        <v>0</v>
      </c>
      <c r="K101" s="42" t="n">
        <f aca="false">AO101+MIN(AE101-AO101,MAX(0,'Start Here'!$B$10-SUM($AJ101:$AS101)-SUMPRODUCT(($Z$3:$AI$3&lt;AE$3)*($Z101:$AI101-$AJ101:$AS101))))</f>
        <v>0</v>
      </c>
      <c r="L101" s="42" t="n">
        <f aca="false">AP101+MIN(AF101-AP101,MAX(0,'Start Here'!$B$10-SUM($AJ101:$AS101)-SUMPRODUCT(($Z$3:$AI$3&lt;AF$3)*($Z101:$AI101-$AJ101:$AS101))))</f>
        <v>0</v>
      </c>
      <c r="M101" s="42" t="n">
        <f aca="false">AQ101+MIN(AG101-AQ101,MAX(0,'Start Here'!$B$10-SUM($AJ101:$AS101)-SUMPRODUCT(($Z$3:$AI$3&lt;AG$3)*($Z101:$AI101-$AJ101:$AS101))))</f>
        <v>0</v>
      </c>
      <c r="N101" s="42" t="n">
        <f aca="false">AR101+MIN(AH101-AR101,MAX(0,'Start Here'!$B$10-SUM($AJ101:$AS101)-SUMPRODUCT(($Z$3:$AI$3&lt;AH$3)*($Z101:$AI101-$AJ101:$AS101))))</f>
        <v>0</v>
      </c>
      <c r="O101" s="42" t="n">
        <f aca="false">AS101+MIN(AI101-AS101,MAX(0,'Start Here'!$B$10-SUM($AJ101:$AS101)-SUMPRODUCT(($Z$3:$AI$3&lt;AI$3)*($Z101:$AI101-$AJ101:$AS101))))</f>
        <v>0</v>
      </c>
      <c r="P101" s="42" t="n">
        <f aca="false">ROUND(Z101-F101,2)</f>
        <v>0</v>
      </c>
      <c r="Q101" s="42" t="n">
        <f aca="false">ROUND(AA101-G101,2)</f>
        <v>0</v>
      </c>
      <c r="R101" s="42" t="n">
        <f aca="false">ROUND(AB101-H101,2)</f>
        <v>0</v>
      </c>
      <c r="S101" s="42" t="n">
        <f aca="false">ROUND(AC101-I101,2)</f>
        <v>0</v>
      </c>
      <c r="T101" s="42" t="n">
        <f aca="false">ROUND(AD101-J101,2)</f>
        <v>0</v>
      </c>
      <c r="U101" s="42" t="n">
        <f aca="false">ROUND(AE101-K101,2)</f>
        <v>0</v>
      </c>
      <c r="V101" s="42" t="n">
        <f aca="false">ROUND(AF101-L101,2)</f>
        <v>0</v>
      </c>
      <c r="W101" s="42" t="n">
        <f aca="false">ROUND(AG101-M101,2)</f>
        <v>0</v>
      </c>
      <c r="X101" s="42" t="n">
        <f aca="false">ROUND(AH101-N101,2)</f>
        <v>0</v>
      </c>
      <c r="Y101" s="42" t="n">
        <f aca="false">ROUND(AI101-O101,2)</f>
        <v>0</v>
      </c>
      <c r="Z101" s="56" t="n">
        <f aca="false">ROUND(P100*(1+N(Debts!$D$5)/12),2)</f>
        <v>0</v>
      </c>
      <c r="AA101" s="56" t="n">
        <f aca="false">ROUND(Q100*(1+N(Debts!$D$6)/12),2)</f>
        <v>0</v>
      </c>
      <c r="AB101" s="56" t="n">
        <f aca="false">ROUND(R100*(1+N(Debts!$D$7)/12),2)</f>
        <v>0</v>
      </c>
      <c r="AC101" s="56" t="n">
        <f aca="false">ROUND(S100*(1+N(Debts!$D$8)/12),2)</f>
        <v>0</v>
      </c>
      <c r="AD101" s="56" t="n">
        <f aca="false">ROUND(T100*(1+N(Debts!$D$9)/12),2)</f>
        <v>0</v>
      </c>
      <c r="AE101" s="56" t="n">
        <f aca="false">ROUND(U100*(1+N(Debts!$D$10)/12),2)</f>
        <v>0</v>
      </c>
      <c r="AF101" s="56" t="n">
        <f aca="false">ROUND(V100*(1+N(Debts!$D$11)/12),2)</f>
        <v>0</v>
      </c>
      <c r="AG101" s="56" t="n">
        <f aca="false">ROUND(W100*(1+N(Debts!$D$12)/12),2)</f>
        <v>0</v>
      </c>
      <c r="AH101" s="56" t="n">
        <f aca="false">ROUND(X100*(1+N(Debts!$D$13)/12),2)</f>
        <v>0</v>
      </c>
      <c r="AI101" s="56" t="n">
        <f aca="false">ROUND(Y100*(1+N(Debts!$D$14)/12),2)</f>
        <v>0</v>
      </c>
      <c r="AJ101" s="56" t="n">
        <f aca="false">MIN(Z101,MAX(0,N(Debts!$E$5)))</f>
        <v>0</v>
      </c>
      <c r="AK101" s="56" t="n">
        <f aca="false">MIN(AA101,MAX(0,N(Debts!$E$6)))</f>
        <v>0</v>
      </c>
      <c r="AL101" s="56" t="n">
        <f aca="false">MIN(AB101,MAX(0,N(Debts!$E$7)))</f>
        <v>0</v>
      </c>
      <c r="AM101" s="56" t="n">
        <f aca="false">MIN(AC101,MAX(0,N(Debts!$E$8)))</f>
        <v>0</v>
      </c>
      <c r="AN101" s="56" t="n">
        <f aca="false">MIN(AD101,MAX(0,N(Debts!$E$9)))</f>
        <v>0</v>
      </c>
      <c r="AO101" s="56" t="n">
        <f aca="false">MIN(AE101,MAX(0,N(Debts!$E$10)))</f>
        <v>0</v>
      </c>
      <c r="AP101" s="56" t="n">
        <f aca="false">MIN(AF101,MAX(0,N(Debts!$E$11)))</f>
        <v>0</v>
      </c>
      <c r="AQ101" s="56" t="n">
        <f aca="false">MIN(AG101,MAX(0,N(Debts!$E$12)))</f>
        <v>0</v>
      </c>
      <c r="AR101" s="56" t="n">
        <f aca="false">MIN(AH101,MAX(0,N(Debts!$E$13)))</f>
        <v>0</v>
      </c>
      <c r="AS101" s="56" t="n">
        <f aca="false">MIN(AI101,MAX(0,N(Debts!$E$14)))</f>
        <v>0</v>
      </c>
    </row>
    <row r="102" customFormat="false" ht="15" hidden="false" customHeight="false" outlineLevel="0" collapsed="false">
      <c r="A102" s="53" t="n">
        <v>98</v>
      </c>
      <c r="B102" s="54" t="n">
        <f aca="false">EDATE('Start Here'!$B$8,97)</f>
        <v>49279</v>
      </c>
      <c r="C102" s="42" t="n">
        <f aca="false">SUM(F102:O102)</f>
        <v>0</v>
      </c>
      <c r="D102" s="42" t="n">
        <f aca="false">ROUND(SUM($Z102:$AI102)-SUM(P101:Y101),2)</f>
        <v>0</v>
      </c>
      <c r="E102" s="55" t="n">
        <f aca="false">SUM(P102:Y102)</f>
        <v>0</v>
      </c>
      <c r="F102" s="42" t="n">
        <f aca="false">AJ102+MIN(Z102-AJ102,MAX(0,'Start Here'!$B$10-SUM($AJ102:$AS102)-SUMPRODUCT(($Z$3:$AI$3&lt;Z$3)*($Z102:$AI102-$AJ102:$AS102))))</f>
        <v>0</v>
      </c>
      <c r="G102" s="42" t="n">
        <f aca="false">AK102+MIN(AA102-AK102,MAX(0,'Start Here'!$B$10-SUM($AJ102:$AS102)-SUMPRODUCT(($Z$3:$AI$3&lt;AA$3)*($Z102:$AI102-$AJ102:$AS102))))</f>
        <v>0</v>
      </c>
      <c r="H102" s="42" t="n">
        <f aca="false">AL102+MIN(AB102-AL102,MAX(0,'Start Here'!$B$10-SUM($AJ102:$AS102)-SUMPRODUCT(($Z$3:$AI$3&lt;AB$3)*($Z102:$AI102-$AJ102:$AS102))))</f>
        <v>0</v>
      </c>
      <c r="I102" s="42" t="n">
        <f aca="false">AM102+MIN(AC102-AM102,MAX(0,'Start Here'!$B$10-SUM($AJ102:$AS102)-SUMPRODUCT(($Z$3:$AI$3&lt;AC$3)*($Z102:$AI102-$AJ102:$AS102))))</f>
        <v>0</v>
      </c>
      <c r="J102" s="42" t="n">
        <f aca="false">AN102+MIN(AD102-AN102,MAX(0,'Start Here'!$B$10-SUM($AJ102:$AS102)-SUMPRODUCT(($Z$3:$AI$3&lt;AD$3)*($Z102:$AI102-$AJ102:$AS102))))</f>
        <v>0</v>
      </c>
      <c r="K102" s="42" t="n">
        <f aca="false">AO102+MIN(AE102-AO102,MAX(0,'Start Here'!$B$10-SUM($AJ102:$AS102)-SUMPRODUCT(($Z$3:$AI$3&lt;AE$3)*($Z102:$AI102-$AJ102:$AS102))))</f>
        <v>0</v>
      </c>
      <c r="L102" s="42" t="n">
        <f aca="false">AP102+MIN(AF102-AP102,MAX(0,'Start Here'!$B$10-SUM($AJ102:$AS102)-SUMPRODUCT(($Z$3:$AI$3&lt;AF$3)*($Z102:$AI102-$AJ102:$AS102))))</f>
        <v>0</v>
      </c>
      <c r="M102" s="42" t="n">
        <f aca="false">AQ102+MIN(AG102-AQ102,MAX(0,'Start Here'!$B$10-SUM($AJ102:$AS102)-SUMPRODUCT(($Z$3:$AI$3&lt;AG$3)*($Z102:$AI102-$AJ102:$AS102))))</f>
        <v>0</v>
      </c>
      <c r="N102" s="42" t="n">
        <f aca="false">AR102+MIN(AH102-AR102,MAX(0,'Start Here'!$B$10-SUM($AJ102:$AS102)-SUMPRODUCT(($Z$3:$AI$3&lt;AH$3)*($Z102:$AI102-$AJ102:$AS102))))</f>
        <v>0</v>
      </c>
      <c r="O102" s="42" t="n">
        <f aca="false">AS102+MIN(AI102-AS102,MAX(0,'Start Here'!$B$10-SUM($AJ102:$AS102)-SUMPRODUCT(($Z$3:$AI$3&lt;AI$3)*($Z102:$AI102-$AJ102:$AS102))))</f>
        <v>0</v>
      </c>
      <c r="P102" s="42" t="n">
        <f aca="false">ROUND(Z102-F102,2)</f>
        <v>0</v>
      </c>
      <c r="Q102" s="42" t="n">
        <f aca="false">ROUND(AA102-G102,2)</f>
        <v>0</v>
      </c>
      <c r="R102" s="42" t="n">
        <f aca="false">ROUND(AB102-H102,2)</f>
        <v>0</v>
      </c>
      <c r="S102" s="42" t="n">
        <f aca="false">ROUND(AC102-I102,2)</f>
        <v>0</v>
      </c>
      <c r="T102" s="42" t="n">
        <f aca="false">ROUND(AD102-J102,2)</f>
        <v>0</v>
      </c>
      <c r="U102" s="42" t="n">
        <f aca="false">ROUND(AE102-K102,2)</f>
        <v>0</v>
      </c>
      <c r="V102" s="42" t="n">
        <f aca="false">ROUND(AF102-L102,2)</f>
        <v>0</v>
      </c>
      <c r="W102" s="42" t="n">
        <f aca="false">ROUND(AG102-M102,2)</f>
        <v>0</v>
      </c>
      <c r="X102" s="42" t="n">
        <f aca="false">ROUND(AH102-N102,2)</f>
        <v>0</v>
      </c>
      <c r="Y102" s="42" t="n">
        <f aca="false">ROUND(AI102-O102,2)</f>
        <v>0</v>
      </c>
      <c r="Z102" s="56" t="n">
        <f aca="false">ROUND(P101*(1+N(Debts!$D$5)/12),2)</f>
        <v>0</v>
      </c>
      <c r="AA102" s="56" t="n">
        <f aca="false">ROUND(Q101*(1+N(Debts!$D$6)/12),2)</f>
        <v>0</v>
      </c>
      <c r="AB102" s="56" t="n">
        <f aca="false">ROUND(R101*(1+N(Debts!$D$7)/12),2)</f>
        <v>0</v>
      </c>
      <c r="AC102" s="56" t="n">
        <f aca="false">ROUND(S101*(1+N(Debts!$D$8)/12),2)</f>
        <v>0</v>
      </c>
      <c r="AD102" s="56" t="n">
        <f aca="false">ROUND(T101*(1+N(Debts!$D$9)/12),2)</f>
        <v>0</v>
      </c>
      <c r="AE102" s="56" t="n">
        <f aca="false">ROUND(U101*(1+N(Debts!$D$10)/12),2)</f>
        <v>0</v>
      </c>
      <c r="AF102" s="56" t="n">
        <f aca="false">ROUND(V101*(1+N(Debts!$D$11)/12),2)</f>
        <v>0</v>
      </c>
      <c r="AG102" s="56" t="n">
        <f aca="false">ROUND(W101*(1+N(Debts!$D$12)/12),2)</f>
        <v>0</v>
      </c>
      <c r="AH102" s="56" t="n">
        <f aca="false">ROUND(X101*(1+N(Debts!$D$13)/12),2)</f>
        <v>0</v>
      </c>
      <c r="AI102" s="56" t="n">
        <f aca="false">ROUND(Y101*(1+N(Debts!$D$14)/12),2)</f>
        <v>0</v>
      </c>
      <c r="AJ102" s="56" t="n">
        <f aca="false">MIN(Z102,MAX(0,N(Debts!$E$5)))</f>
        <v>0</v>
      </c>
      <c r="AK102" s="56" t="n">
        <f aca="false">MIN(AA102,MAX(0,N(Debts!$E$6)))</f>
        <v>0</v>
      </c>
      <c r="AL102" s="56" t="n">
        <f aca="false">MIN(AB102,MAX(0,N(Debts!$E$7)))</f>
        <v>0</v>
      </c>
      <c r="AM102" s="56" t="n">
        <f aca="false">MIN(AC102,MAX(0,N(Debts!$E$8)))</f>
        <v>0</v>
      </c>
      <c r="AN102" s="56" t="n">
        <f aca="false">MIN(AD102,MAX(0,N(Debts!$E$9)))</f>
        <v>0</v>
      </c>
      <c r="AO102" s="56" t="n">
        <f aca="false">MIN(AE102,MAX(0,N(Debts!$E$10)))</f>
        <v>0</v>
      </c>
      <c r="AP102" s="56" t="n">
        <f aca="false">MIN(AF102,MAX(0,N(Debts!$E$11)))</f>
        <v>0</v>
      </c>
      <c r="AQ102" s="56" t="n">
        <f aca="false">MIN(AG102,MAX(0,N(Debts!$E$12)))</f>
        <v>0</v>
      </c>
      <c r="AR102" s="56" t="n">
        <f aca="false">MIN(AH102,MAX(0,N(Debts!$E$13)))</f>
        <v>0</v>
      </c>
      <c r="AS102" s="56" t="n">
        <f aca="false">MIN(AI102,MAX(0,N(Debts!$E$14)))</f>
        <v>0</v>
      </c>
    </row>
    <row r="103" customFormat="false" ht="15" hidden="false" customHeight="false" outlineLevel="0" collapsed="false">
      <c r="A103" s="53" t="n">
        <v>99</v>
      </c>
      <c r="B103" s="54" t="n">
        <f aca="false">EDATE('Start Here'!$B$8,98)</f>
        <v>49310</v>
      </c>
      <c r="C103" s="42" t="n">
        <f aca="false">SUM(F103:O103)</f>
        <v>0</v>
      </c>
      <c r="D103" s="42" t="n">
        <f aca="false">ROUND(SUM($Z103:$AI103)-SUM(P102:Y102),2)</f>
        <v>0</v>
      </c>
      <c r="E103" s="55" t="n">
        <f aca="false">SUM(P103:Y103)</f>
        <v>0</v>
      </c>
      <c r="F103" s="42" t="n">
        <f aca="false">AJ103+MIN(Z103-AJ103,MAX(0,'Start Here'!$B$10-SUM($AJ103:$AS103)-SUMPRODUCT(($Z$3:$AI$3&lt;Z$3)*($Z103:$AI103-$AJ103:$AS103))))</f>
        <v>0</v>
      </c>
      <c r="G103" s="42" t="n">
        <f aca="false">AK103+MIN(AA103-AK103,MAX(0,'Start Here'!$B$10-SUM($AJ103:$AS103)-SUMPRODUCT(($Z$3:$AI$3&lt;AA$3)*($Z103:$AI103-$AJ103:$AS103))))</f>
        <v>0</v>
      </c>
      <c r="H103" s="42" t="n">
        <f aca="false">AL103+MIN(AB103-AL103,MAX(0,'Start Here'!$B$10-SUM($AJ103:$AS103)-SUMPRODUCT(($Z$3:$AI$3&lt;AB$3)*($Z103:$AI103-$AJ103:$AS103))))</f>
        <v>0</v>
      </c>
      <c r="I103" s="42" t="n">
        <f aca="false">AM103+MIN(AC103-AM103,MAX(0,'Start Here'!$B$10-SUM($AJ103:$AS103)-SUMPRODUCT(($Z$3:$AI$3&lt;AC$3)*($Z103:$AI103-$AJ103:$AS103))))</f>
        <v>0</v>
      </c>
      <c r="J103" s="42" t="n">
        <f aca="false">AN103+MIN(AD103-AN103,MAX(0,'Start Here'!$B$10-SUM($AJ103:$AS103)-SUMPRODUCT(($Z$3:$AI$3&lt;AD$3)*($Z103:$AI103-$AJ103:$AS103))))</f>
        <v>0</v>
      </c>
      <c r="K103" s="42" t="n">
        <f aca="false">AO103+MIN(AE103-AO103,MAX(0,'Start Here'!$B$10-SUM($AJ103:$AS103)-SUMPRODUCT(($Z$3:$AI$3&lt;AE$3)*($Z103:$AI103-$AJ103:$AS103))))</f>
        <v>0</v>
      </c>
      <c r="L103" s="42" t="n">
        <f aca="false">AP103+MIN(AF103-AP103,MAX(0,'Start Here'!$B$10-SUM($AJ103:$AS103)-SUMPRODUCT(($Z$3:$AI$3&lt;AF$3)*($Z103:$AI103-$AJ103:$AS103))))</f>
        <v>0</v>
      </c>
      <c r="M103" s="42" t="n">
        <f aca="false">AQ103+MIN(AG103-AQ103,MAX(0,'Start Here'!$B$10-SUM($AJ103:$AS103)-SUMPRODUCT(($Z$3:$AI$3&lt;AG$3)*($Z103:$AI103-$AJ103:$AS103))))</f>
        <v>0</v>
      </c>
      <c r="N103" s="42" t="n">
        <f aca="false">AR103+MIN(AH103-AR103,MAX(0,'Start Here'!$B$10-SUM($AJ103:$AS103)-SUMPRODUCT(($Z$3:$AI$3&lt;AH$3)*($Z103:$AI103-$AJ103:$AS103))))</f>
        <v>0</v>
      </c>
      <c r="O103" s="42" t="n">
        <f aca="false">AS103+MIN(AI103-AS103,MAX(0,'Start Here'!$B$10-SUM($AJ103:$AS103)-SUMPRODUCT(($Z$3:$AI$3&lt;AI$3)*($Z103:$AI103-$AJ103:$AS103))))</f>
        <v>0</v>
      </c>
      <c r="P103" s="42" t="n">
        <f aca="false">ROUND(Z103-F103,2)</f>
        <v>0</v>
      </c>
      <c r="Q103" s="42" t="n">
        <f aca="false">ROUND(AA103-G103,2)</f>
        <v>0</v>
      </c>
      <c r="R103" s="42" t="n">
        <f aca="false">ROUND(AB103-H103,2)</f>
        <v>0</v>
      </c>
      <c r="S103" s="42" t="n">
        <f aca="false">ROUND(AC103-I103,2)</f>
        <v>0</v>
      </c>
      <c r="T103" s="42" t="n">
        <f aca="false">ROUND(AD103-J103,2)</f>
        <v>0</v>
      </c>
      <c r="U103" s="42" t="n">
        <f aca="false">ROUND(AE103-K103,2)</f>
        <v>0</v>
      </c>
      <c r="V103" s="42" t="n">
        <f aca="false">ROUND(AF103-L103,2)</f>
        <v>0</v>
      </c>
      <c r="W103" s="42" t="n">
        <f aca="false">ROUND(AG103-M103,2)</f>
        <v>0</v>
      </c>
      <c r="X103" s="42" t="n">
        <f aca="false">ROUND(AH103-N103,2)</f>
        <v>0</v>
      </c>
      <c r="Y103" s="42" t="n">
        <f aca="false">ROUND(AI103-O103,2)</f>
        <v>0</v>
      </c>
      <c r="Z103" s="56" t="n">
        <f aca="false">ROUND(P102*(1+N(Debts!$D$5)/12),2)</f>
        <v>0</v>
      </c>
      <c r="AA103" s="56" t="n">
        <f aca="false">ROUND(Q102*(1+N(Debts!$D$6)/12),2)</f>
        <v>0</v>
      </c>
      <c r="AB103" s="56" t="n">
        <f aca="false">ROUND(R102*(1+N(Debts!$D$7)/12),2)</f>
        <v>0</v>
      </c>
      <c r="AC103" s="56" t="n">
        <f aca="false">ROUND(S102*(1+N(Debts!$D$8)/12),2)</f>
        <v>0</v>
      </c>
      <c r="AD103" s="56" t="n">
        <f aca="false">ROUND(T102*(1+N(Debts!$D$9)/12),2)</f>
        <v>0</v>
      </c>
      <c r="AE103" s="56" t="n">
        <f aca="false">ROUND(U102*(1+N(Debts!$D$10)/12),2)</f>
        <v>0</v>
      </c>
      <c r="AF103" s="56" t="n">
        <f aca="false">ROUND(V102*(1+N(Debts!$D$11)/12),2)</f>
        <v>0</v>
      </c>
      <c r="AG103" s="56" t="n">
        <f aca="false">ROUND(W102*(1+N(Debts!$D$12)/12),2)</f>
        <v>0</v>
      </c>
      <c r="AH103" s="56" t="n">
        <f aca="false">ROUND(X102*(1+N(Debts!$D$13)/12),2)</f>
        <v>0</v>
      </c>
      <c r="AI103" s="56" t="n">
        <f aca="false">ROUND(Y102*(1+N(Debts!$D$14)/12),2)</f>
        <v>0</v>
      </c>
      <c r="AJ103" s="56" t="n">
        <f aca="false">MIN(Z103,MAX(0,N(Debts!$E$5)))</f>
        <v>0</v>
      </c>
      <c r="AK103" s="56" t="n">
        <f aca="false">MIN(AA103,MAX(0,N(Debts!$E$6)))</f>
        <v>0</v>
      </c>
      <c r="AL103" s="56" t="n">
        <f aca="false">MIN(AB103,MAX(0,N(Debts!$E$7)))</f>
        <v>0</v>
      </c>
      <c r="AM103" s="56" t="n">
        <f aca="false">MIN(AC103,MAX(0,N(Debts!$E$8)))</f>
        <v>0</v>
      </c>
      <c r="AN103" s="56" t="n">
        <f aca="false">MIN(AD103,MAX(0,N(Debts!$E$9)))</f>
        <v>0</v>
      </c>
      <c r="AO103" s="56" t="n">
        <f aca="false">MIN(AE103,MAX(0,N(Debts!$E$10)))</f>
        <v>0</v>
      </c>
      <c r="AP103" s="56" t="n">
        <f aca="false">MIN(AF103,MAX(0,N(Debts!$E$11)))</f>
        <v>0</v>
      </c>
      <c r="AQ103" s="56" t="n">
        <f aca="false">MIN(AG103,MAX(0,N(Debts!$E$12)))</f>
        <v>0</v>
      </c>
      <c r="AR103" s="56" t="n">
        <f aca="false">MIN(AH103,MAX(0,N(Debts!$E$13)))</f>
        <v>0</v>
      </c>
      <c r="AS103" s="56" t="n">
        <f aca="false">MIN(AI103,MAX(0,N(Debts!$E$14)))</f>
        <v>0</v>
      </c>
    </row>
    <row r="104" customFormat="false" ht="15" hidden="false" customHeight="false" outlineLevel="0" collapsed="false">
      <c r="A104" s="53" t="n">
        <v>100</v>
      </c>
      <c r="B104" s="54" t="n">
        <f aca="false">EDATE('Start Here'!$B$8,99)</f>
        <v>49341</v>
      </c>
      <c r="C104" s="42" t="n">
        <f aca="false">SUM(F104:O104)</f>
        <v>0</v>
      </c>
      <c r="D104" s="42" t="n">
        <f aca="false">ROUND(SUM($Z104:$AI104)-SUM(P103:Y103),2)</f>
        <v>0</v>
      </c>
      <c r="E104" s="55" t="n">
        <f aca="false">SUM(P104:Y104)</f>
        <v>0</v>
      </c>
      <c r="F104" s="42" t="n">
        <f aca="false">AJ104+MIN(Z104-AJ104,MAX(0,'Start Here'!$B$10-SUM($AJ104:$AS104)-SUMPRODUCT(($Z$3:$AI$3&lt;Z$3)*($Z104:$AI104-$AJ104:$AS104))))</f>
        <v>0</v>
      </c>
      <c r="G104" s="42" t="n">
        <f aca="false">AK104+MIN(AA104-AK104,MAX(0,'Start Here'!$B$10-SUM($AJ104:$AS104)-SUMPRODUCT(($Z$3:$AI$3&lt;AA$3)*($Z104:$AI104-$AJ104:$AS104))))</f>
        <v>0</v>
      </c>
      <c r="H104" s="42" t="n">
        <f aca="false">AL104+MIN(AB104-AL104,MAX(0,'Start Here'!$B$10-SUM($AJ104:$AS104)-SUMPRODUCT(($Z$3:$AI$3&lt;AB$3)*($Z104:$AI104-$AJ104:$AS104))))</f>
        <v>0</v>
      </c>
      <c r="I104" s="42" t="n">
        <f aca="false">AM104+MIN(AC104-AM104,MAX(0,'Start Here'!$B$10-SUM($AJ104:$AS104)-SUMPRODUCT(($Z$3:$AI$3&lt;AC$3)*($Z104:$AI104-$AJ104:$AS104))))</f>
        <v>0</v>
      </c>
      <c r="J104" s="42" t="n">
        <f aca="false">AN104+MIN(AD104-AN104,MAX(0,'Start Here'!$B$10-SUM($AJ104:$AS104)-SUMPRODUCT(($Z$3:$AI$3&lt;AD$3)*($Z104:$AI104-$AJ104:$AS104))))</f>
        <v>0</v>
      </c>
      <c r="K104" s="42" t="n">
        <f aca="false">AO104+MIN(AE104-AO104,MAX(0,'Start Here'!$B$10-SUM($AJ104:$AS104)-SUMPRODUCT(($Z$3:$AI$3&lt;AE$3)*($Z104:$AI104-$AJ104:$AS104))))</f>
        <v>0</v>
      </c>
      <c r="L104" s="42" t="n">
        <f aca="false">AP104+MIN(AF104-AP104,MAX(0,'Start Here'!$B$10-SUM($AJ104:$AS104)-SUMPRODUCT(($Z$3:$AI$3&lt;AF$3)*($Z104:$AI104-$AJ104:$AS104))))</f>
        <v>0</v>
      </c>
      <c r="M104" s="42" t="n">
        <f aca="false">AQ104+MIN(AG104-AQ104,MAX(0,'Start Here'!$B$10-SUM($AJ104:$AS104)-SUMPRODUCT(($Z$3:$AI$3&lt;AG$3)*($Z104:$AI104-$AJ104:$AS104))))</f>
        <v>0</v>
      </c>
      <c r="N104" s="42" t="n">
        <f aca="false">AR104+MIN(AH104-AR104,MAX(0,'Start Here'!$B$10-SUM($AJ104:$AS104)-SUMPRODUCT(($Z$3:$AI$3&lt;AH$3)*($Z104:$AI104-$AJ104:$AS104))))</f>
        <v>0</v>
      </c>
      <c r="O104" s="42" t="n">
        <f aca="false">AS104+MIN(AI104-AS104,MAX(0,'Start Here'!$B$10-SUM($AJ104:$AS104)-SUMPRODUCT(($Z$3:$AI$3&lt;AI$3)*($Z104:$AI104-$AJ104:$AS104))))</f>
        <v>0</v>
      </c>
      <c r="P104" s="42" t="n">
        <f aca="false">ROUND(Z104-F104,2)</f>
        <v>0</v>
      </c>
      <c r="Q104" s="42" t="n">
        <f aca="false">ROUND(AA104-G104,2)</f>
        <v>0</v>
      </c>
      <c r="R104" s="42" t="n">
        <f aca="false">ROUND(AB104-H104,2)</f>
        <v>0</v>
      </c>
      <c r="S104" s="42" t="n">
        <f aca="false">ROUND(AC104-I104,2)</f>
        <v>0</v>
      </c>
      <c r="T104" s="42" t="n">
        <f aca="false">ROUND(AD104-J104,2)</f>
        <v>0</v>
      </c>
      <c r="U104" s="42" t="n">
        <f aca="false">ROUND(AE104-K104,2)</f>
        <v>0</v>
      </c>
      <c r="V104" s="42" t="n">
        <f aca="false">ROUND(AF104-L104,2)</f>
        <v>0</v>
      </c>
      <c r="W104" s="42" t="n">
        <f aca="false">ROUND(AG104-M104,2)</f>
        <v>0</v>
      </c>
      <c r="X104" s="42" t="n">
        <f aca="false">ROUND(AH104-N104,2)</f>
        <v>0</v>
      </c>
      <c r="Y104" s="42" t="n">
        <f aca="false">ROUND(AI104-O104,2)</f>
        <v>0</v>
      </c>
      <c r="Z104" s="56" t="n">
        <f aca="false">ROUND(P103*(1+N(Debts!$D$5)/12),2)</f>
        <v>0</v>
      </c>
      <c r="AA104" s="56" t="n">
        <f aca="false">ROUND(Q103*(1+N(Debts!$D$6)/12),2)</f>
        <v>0</v>
      </c>
      <c r="AB104" s="56" t="n">
        <f aca="false">ROUND(R103*(1+N(Debts!$D$7)/12),2)</f>
        <v>0</v>
      </c>
      <c r="AC104" s="56" t="n">
        <f aca="false">ROUND(S103*(1+N(Debts!$D$8)/12),2)</f>
        <v>0</v>
      </c>
      <c r="AD104" s="56" t="n">
        <f aca="false">ROUND(T103*(1+N(Debts!$D$9)/12),2)</f>
        <v>0</v>
      </c>
      <c r="AE104" s="56" t="n">
        <f aca="false">ROUND(U103*(1+N(Debts!$D$10)/12),2)</f>
        <v>0</v>
      </c>
      <c r="AF104" s="56" t="n">
        <f aca="false">ROUND(V103*(1+N(Debts!$D$11)/12),2)</f>
        <v>0</v>
      </c>
      <c r="AG104" s="56" t="n">
        <f aca="false">ROUND(W103*(1+N(Debts!$D$12)/12),2)</f>
        <v>0</v>
      </c>
      <c r="AH104" s="56" t="n">
        <f aca="false">ROUND(X103*(1+N(Debts!$D$13)/12),2)</f>
        <v>0</v>
      </c>
      <c r="AI104" s="56" t="n">
        <f aca="false">ROUND(Y103*(1+N(Debts!$D$14)/12),2)</f>
        <v>0</v>
      </c>
      <c r="AJ104" s="56" t="n">
        <f aca="false">MIN(Z104,MAX(0,N(Debts!$E$5)))</f>
        <v>0</v>
      </c>
      <c r="AK104" s="56" t="n">
        <f aca="false">MIN(AA104,MAX(0,N(Debts!$E$6)))</f>
        <v>0</v>
      </c>
      <c r="AL104" s="56" t="n">
        <f aca="false">MIN(AB104,MAX(0,N(Debts!$E$7)))</f>
        <v>0</v>
      </c>
      <c r="AM104" s="56" t="n">
        <f aca="false">MIN(AC104,MAX(0,N(Debts!$E$8)))</f>
        <v>0</v>
      </c>
      <c r="AN104" s="56" t="n">
        <f aca="false">MIN(AD104,MAX(0,N(Debts!$E$9)))</f>
        <v>0</v>
      </c>
      <c r="AO104" s="56" t="n">
        <f aca="false">MIN(AE104,MAX(0,N(Debts!$E$10)))</f>
        <v>0</v>
      </c>
      <c r="AP104" s="56" t="n">
        <f aca="false">MIN(AF104,MAX(0,N(Debts!$E$11)))</f>
        <v>0</v>
      </c>
      <c r="AQ104" s="56" t="n">
        <f aca="false">MIN(AG104,MAX(0,N(Debts!$E$12)))</f>
        <v>0</v>
      </c>
      <c r="AR104" s="56" t="n">
        <f aca="false">MIN(AH104,MAX(0,N(Debts!$E$13)))</f>
        <v>0</v>
      </c>
      <c r="AS104" s="56" t="n">
        <f aca="false">MIN(AI104,MAX(0,N(Debts!$E$14)))</f>
        <v>0</v>
      </c>
    </row>
    <row r="105" customFormat="false" ht="15" hidden="false" customHeight="false" outlineLevel="0" collapsed="false">
      <c r="A105" s="53" t="n">
        <v>101</v>
      </c>
      <c r="B105" s="54" t="n">
        <f aca="false">EDATE('Start Here'!$B$8,100)</f>
        <v>49369</v>
      </c>
      <c r="C105" s="42" t="n">
        <f aca="false">SUM(F105:O105)</f>
        <v>0</v>
      </c>
      <c r="D105" s="42" t="n">
        <f aca="false">ROUND(SUM($Z105:$AI105)-SUM(P104:Y104),2)</f>
        <v>0</v>
      </c>
      <c r="E105" s="55" t="n">
        <f aca="false">SUM(P105:Y105)</f>
        <v>0</v>
      </c>
      <c r="F105" s="42" t="n">
        <f aca="false">AJ105+MIN(Z105-AJ105,MAX(0,'Start Here'!$B$10-SUM($AJ105:$AS105)-SUMPRODUCT(($Z$3:$AI$3&lt;Z$3)*($Z105:$AI105-$AJ105:$AS105))))</f>
        <v>0</v>
      </c>
      <c r="G105" s="42" t="n">
        <f aca="false">AK105+MIN(AA105-AK105,MAX(0,'Start Here'!$B$10-SUM($AJ105:$AS105)-SUMPRODUCT(($Z$3:$AI$3&lt;AA$3)*($Z105:$AI105-$AJ105:$AS105))))</f>
        <v>0</v>
      </c>
      <c r="H105" s="42" t="n">
        <f aca="false">AL105+MIN(AB105-AL105,MAX(0,'Start Here'!$B$10-SUM($AJ105:$AS105)-SUMPRODUCT(($Z$3:$AI$3&lt;AB$3)*($Z105:$AI105-$AJ105:$AS105))))</f>
        <v>0</v>
      </c>
      <c r="I105" s="42" t="n">
        <f aca="false">AM105+MIN(AC105-AM105,MAX(0,'Start Here'!$B$10-SUM($AJ105:$AS105)-SUMPRODUCT(($Z$3:$AI$3&lt;AC$3)*($Z105:$AI105-$AJ105:$AS105))))</f>
        <v>0</v>
      </c>
      <c r="J105" s="42" t="n">
        <f aca="false">AN105+MIN(AD105-AN105,MAX(0,'Start Here'!$B$10-SUM($AJ105:$AS105)-SUMPRODUCT(($Z$3:$AI$3&lt;AD$3)*($Z105:$AI105-$AJ105:$AS105))))</f>
        <v>0</v>
      </c>
      <c r="K105" s="42" t="n">
        <f aca="false">AO105+MIN(AE105-AO105,MAX(0,'Start Here'!$B$10-SUM($AJ105:$AS105)-SUMPRODUCT(($Z$3:$AI$3&lt;AE$3)*($Z105:$AI105-$AJ105:$AS105))))</f>
        <v>0</v>
      </c>
      <c r="L105" s="42" t="n">
        <f aca="false">AP105+MIN(AF105-AP105,MAX(0,'Start Here'!$B$10-SUM($AJ105:$AS105)-SUMPRODUCT(($Z$3:$AI$3&lt;AF$3)*($Z105:$AI105-$AJ105:$AS105))))</f>
        <v>0</v>
      </c>
      <c r="M105" s="42" t="n">
        <f aca="false">AQ105+MIN(AG105-AQ105,MAX(0,'Start Here'!$B$10-SUM($AJ105:$AS105)-SUMPRODUCT(($Z$3:$AI$3&lt;AG$3)*($Z105:$AI105-$AJ105:$AS105))))</f>
        <v>0</v>
      </c>
      <c r="N105" s="42" t="n">
        <f aca="false">AR105+MIN(AH105-AR105,MAX(0,'Start Here'!$B$10-SUM($AJ105:$AS105)-SUMPRODUCT(($Z$3:$AI$3&lt;AH$3)*($Z105:$AI105-$AJ105:$AS105))))</f>
        <v>0</v>
      </c>
      <c r="O105" s="42" t="n">
        <f aca="false">AS105+MIN(AI105-AS105,MAX(0,'Start Here'!$B$10-SUM($AJ105:$AS105)-SUMPRODUCT(($Z$3:$AI$3&lt;AI$3)*($Z105:$AI105-$AJ105:$AS105))))</f>
        <v>0</v>
      </c>
      <c r="P105" s="42" t="n">
        <f aca="false">ROUND(Z105-F105,2)</f>
        <v>0</v>
      </c>
      <c r="Q105" s="42" t="n">
        <f aca="false">ROUND(AA105-G105,2)</f>
        <v>0</v>
      </c>
      <c r="R105" s="42" t="n">
        <f aca="false">ROUND(AB105-H105,2)</f>
        <v>0</v>
      </c>
      <c r="S105" s="42" t="n">
        <f aca="false">ROUND(AC105-I105,2)</f>
        <v>0</v>
      </c>
      <c r="T105" s="42" t="n">
        <f aca="false">ROUND(AD105-J105,2)</f>
        <v>0</v>
      </c>
      <c r="U105" s="42" t="n">
        <f aca="false">ROUND(AE105-K105,2)</f>
        <v>0</v>
      </c>
      <c r="V105" s="42" t="n">
        <f aca="false">ROUND(AF105-L105,2)</f>
        <v>0</v>
      </c>
      <c r="W105" s="42" t="n">
        <f aca="false">ROUND(AG105-M105,2)</f>
        <v>0</v>
      </c>
      <c r="X105" s="42" t="n">
        <f aca="false">ROUND(AH105-N105,2)</f>
        <v>0</v>
      </c>
      <c r="Y105" s="42" t="n">
        <f aca="false">ROUND(AI105-O105,2)</f>
        <v>0</v>
      </c>
      <c r="Z105" s="56" t="n">
        <f aca="false">ROUND(P104*(1+N(Debts!$D$5)/12),2)</f>
        <v>0</v>
      </c>
      <c r="AA105" s="56" t="n">
        <f aca="false">ROUND(Q104*(1+N(Debts!$D$6)/12),2)</f>
        <v>0</v>
      </c>
      <c r="AB105" s="56" t="n">
        <f aca="false">ROUND(R104*(1+N(Debts!$D$7)/12),2)</f>
        <v>0</v>
      </c>
      <c r="AC105" s="56" t="n">
        <f aca="false">ROUND(S104*(1+N(Debts!$D$8)/12),2)</f>
        <v>0</v>
      </c>
      <c r="AD105" s="56" t="n">
        <f aca="false">ROUND(T104*(1+N(Debts!$D$9)/12),2)</f>
        <v>0</v>
      </c>
      <c r="AE105" s="56" t="n">
        <f aca="false">ROUND(U104*(1+N(Debts!$D$10)/12),2)</f>
        <v>0</v>
      </c>
      <c r="AF105" s="56" t="n">
        <f aca="false">ROUND(V104*(1+N(Debts!$D$11)/12),2)</f>
        <v>0</v>
      </c>
      <c r="AG105" s="56" t="n">
        <f aca="false">ROUND(W104*(1+N(Debts!$D$12)/12),2)</f>
        <v>0</v>
      </c>
      <c r="AH105" s="56" t="n">
        <f aca="false">ROUND(X104*(1+N(Debts!$D$13)/12),2)</f>
        <v>0</v>
      </c>
      <c r="AI105" s="56" t="n">
        <f aca="false">ROUND(Y104*(1+N(Debts!$D$14)/12),2)</f>
        <v>0</v>
      </c>
      <c r="AJ105" s="56" t="n">
        <f aca="false">MIN(Z105,MAX(0,N(Debts!$E$5)))</f>
        <v>0</v>
      </c>
      <c r="AK105" s="56" t="n">
        <f aca="false">MIN(AA105,MAX(0,N(Debts!$E$6)))</f>
        <v>0</v>
      </c>
      <c r="AL105" s="56" t="n">
        <f aca="false">MIN(AB105,MAX(0,N(Debts!$E$7)))</f>
        <v>0</v>
      </c>
      <c r="AM105" s="56" t="n">
        <f aca="false">MIN(AC105,MAX(0,N(Debts!$E$8)))</f>
        <v>0</v>
      </c>
      <c r="AN105" s="56" t="n">
        <f aca="false">MIN(AD105,MAX(0,N(Debts!$E$9)))</f>
        <v>0</v>
      </c>
      <c r="AO105" s="56" t="n">
        <f aca="false">MIN(AE105,MAX(0,N(Debts!$E$10)))</f>
        <v>0</v>
      </c>
      <c r="AP105" s="56" t="n">
        <f aca="false">MIN(AF105,MAX(0,N(Debts!$E$11)))</f>
        <v>0</v>
      </c>
      <c r="AQ105" s="56" t="n">
        <f aca="false">MIN(AG105,MAX(0,N(Debts!$E$12)))</f>
        <v>0</v>
      </c>
      <c r="AR105" s="56" t="n">
        <f aca="false">MIN(AH105,MAX(0,N(Debts!$E$13)))</f>
        <v>0</v>
      </c>
      <c r="AS105" s="56" t="n">
        <f aca="false">MIN(AI105,MAX(0,N(Debts!$E$14)))</f>
        <v>0</v>
      </c>
    </row>
    <row r="106" customFormat="false" ht="15" hidden="false" customHeight="false" outlineLevel="0" collapsed="false">
      <c r="A106" s="53" t="n">
        <v>102</v>
      </c>
      <c r="B106" s="54" t="n">
        <f aca="false">EDATE('Start Here'!$B$8,101)</f>
        <v>49400</v>
      </c>
      <c r="C106" s="42" t="n">
        <f aca="false">SUM(F106:O106)</f>
        <v>0</v>
      </c>
      <c r="D106" s="42" t="n">
        <f aca="false">ROUND(SUM($Z106:$AI106)-SUM(P105:Y105),2)</f>
        <v>0</v>
      </c>
      <c r="E106" s="55" t="n">
        <f aca="false">SUM(P106:Y106)</f>
        <v>0</v>
      </c>
      <c r="F106" s="42" t="n">
        <f aca="false">AJ106+MIN(Z106-AJ106,MAX(0,'Start Here'!$B$10-SUM($AJ106:$AS106)-SUMPRODUCT(($Z$3:$AI$3&lt;Z$3)*($Z106:$AI106-$AJ106:$AS106))))</f>
        <v>0</v>
      </c>
      <c r="G106" s="42" t="n">
        <f aca="false">AK106+MIN(AA106-AK106,MAX(0,'Start Here'!$B$10-SUM($AJ106:$AS106)-SUMPRODUCT(($Z$3:$AI$3&lt;AA$3)*($Z106:$AI106-$AJ106:$AS106))))</f>
        <v>0</v>
      </c>
      <c r="H106" s="42" t="n">
        <f aca="false">AL106+MIN(AB106-AL106,MAX(0,'Start Here'!$B$10-SUM($AJ106:$AS106)-SUMPRODUCT(($Z$3:$AI$3&lt;AB$3)*($Z106:$AI106-$AJ106:$AS106))))</f>
        <v>0</v>
      </c>
      <c r="I106" s="42" t="n">
        <f aca="false">AM106+MIN(AC106-AM106,MAX(0,'Start Here'!$B$10-SUM($AJ106:$AS106)-SUMPRODUCT(($Z$3:$AI$3&lt;AC$3)*($Z106:$AI106-$AJ106:$AS106))))</f>
        <v>0</v>
      </c>
      <c r="J106" s="42" t="n">
        <f aca="false">AN106+MIN(AD106-AN106,MAX(0,'Start Here'!$B$10-SUM($AJ106:$AS106)-SUMPRODUCT(($Z$3:$AI$3&lt;AD$3)*($Z106:$AI106-$AJ106:$AS106))))</f>
        <v>0</v>
      </c>
      <c r="K106" s="42" t="n">
        <f aca="false">AO106+MIN(AE106-AO106,MAX(0,'Start Here'!$B$10-SUM($AJ106:$AS106)-SUMPRODUCT(($Z$3:$AI$3&lt;AE$3)*($Z106:$AI106-$AJ106:$AS106))))</f>
        <v>0</v>
      </c>
      <c r="L106" s="42" t="n">
        <f aca="false">AP106+MIN(AF106-AP106,MAX(0,'Start Here'!$B$10-SUM($AJ106:$AS106)-SUMPRODUCT(($Z$3:$AI$3&lt;AF$3)*($Z106:$AI106-$AJ106:$AS106))))</f>
        <v>0</v>
      </c>
      <c r="M106" s="42" t="n">
        <f aca="false">AQ106+MIN(AG106-AQ106,MAX(0,'Start Here'!$B$10-SUM($AJ106:$AS106)-SUMPRODUCT(($Z$3:$AI$3&lt;AG$3)*($Z106:$AI106-$AJ106:$AS106))))</f>
        <v>0</v>
      </c>
      <c r="N106" s="42" t="n">
        <f aca="false">AR106+MIN(AH106-AR106,MAX(0,'Start Here'!$B$10-SUM($AJ106:$AS106)-SUMPRODUCT(($Z$3:$AI$3&lt;AH$3)*($Z106:$AI106-$AJ106:$AS106))))</f>
        <v>0</v>
      </c>
      <c r="O106" s="42" t="n">
        <f aca="false">AS106+MIN(AI106-AS106,MAX(0,'Start Here'!$B$10-SUM($AJ106:$AS106)-SUMPRODUCT(($Z$3:$AI$3&lt;AI$3)*($Z106:$AI106-$AJ106:$AS106))))</f>
        <v>0</v>
      </c>
      <c r="P106" s="42" t="n">
        <f aca="false">ROUND(Z106-F106,2)</f>
        <v>0</v>
      </c>
      <c r="Q106" s="42" t="n">
        <f aca="false">ROUND(AA106-G106,2)</f>
        <v>0</v>
      </c>
      <c r="R106" s="42" t="n">
        <f aca="false">ROUND(AB106-H106,2)</f>
        <v>0</v>
      </c>
      <c r="S106" s="42" t="n">
        <f aca="false">ROUND(AC106-I106,2)</f>
        <v>0</v>
      </c>
      <c r="T106" s="42" t="n">
        <f aca="false">ROUND(AD106-J106,2)</f>
        <v>0</v>
      </c>
      <c r="U106" s="42" t="n">
        <f aca="false">ROUND(AE106-K106,2)</f>
        <v>0</v>
      </c>
      <c r="V106" s="42" t="n">
        <f aca="false">ROUND(AF106-L106,2)</f>
        <v>0</v>
      </c>
      <c r="W106" s="42" t="n">
        <f aca="false">ROUND(AG106-M106,2)</f>
        <v>0</v>
      </c>
      <c r="X106" s="42" t="n">
        <f aca="false">ROUND(AH106-N106,2)</f>
        <v>0</v>
      </c>
      <c r="Y106" s="42" t="n">
        <f aca="false">ROUND(AI106-O106,2)</f>
        <v>0</v>
      </c>
      <c r="Z106" s="56" t="n">
        <f aca="false">ROUND(P105*(1+N(Debts!$D$5)/12),2)</f>
        <v>0</v>
      </c>
      <c r="AA106" s="56" t="n">
        <f aca="false">ROUND(Q105*(1+N(Debts!$D$6)/12),2)</f>
        <v>0</v>
      </c>
      <c r="AB106" s="56" t="n">
        <f aca="false">ROUND(R105*(1+N(Debts!$D$7)/12),2)</f>
        <v>0</v>
      </c>
      <c r="AC106" s="56" t="n">
        <f aca="false">ROUND(S105*(1+N(Debts!$D$8)/12),2)</f>
        <v>0</v>
      </c>
      <c r="AD106" s="56" t="n">
        <f aca="false">ROUND(T105*(1+N(Debts!$D$9)/12),2)</f>
        <v>0</v>
      </c>
      <c r="AE106" s="56" t="n">
        <f aca="false">ROUND(U105*(1+N(Debts!$D$10)/12),2)</f>
        <v>0</v>
      </c>
      <c r="AF106" s="56" t="n">
        <f aca="false">ROUND(V105*(1+N(Debts!$D$11)/12),2)</f>
        <v>0</v>
      </c>
      <c r="AG106" s="56" t="n">
        <f aca="false">ROUND(W105*(1+N(Debts!$D$12)/12),2)</f>
        <v>0</v>
      </c>
      <c r="AH106" s="56" t="n">
        <f aca="false">ROUND(X105*(1+N(Debts!$D$13)/12),2)</f>
        <v>0</v>
      </c>
      <c r="AI106" s="56" t="n">
        <f aca="false">ROUND(Y105*(1+N(Debts!$D$14)/12),2)</f>
        <v>0</v>
      </c>
      <c r="AJ106" s="56" t="n">
        <f aca="false">MIN(Z106,MAX(0,N(Debts!$E$5)))</f>
        <v>0</v>
      </c>
      <c r="AK106" s="56" t="n">
        <f aca="false">MIN(AA106,MAX(0,N(Debts!$E$6)))</f>
        <v>0</v>
      </c>
      <c r="AL106" s="56" t="n">
        <f aca="false">MIN(AB106,MAX(0,N(Debts!$E$7)))</f>
        <v>0</v>
      </c>
      <c r="AM106" s="56" t="n">
        <f aca="false">MIN(AC106,MAX(0,N(Debts!$E$8)))</f>
        <v>0</v>
      </c>
      <c r="AN106" s="56" t="n">
        <f aca="false">MIN(AD106,MAX(0,N(Debts!$E$9)))</f>
        <v>0</v>
      </c>
      <c r="AO106" s="56" t="n">
        <f aca="false">MIN(AE106,MAX(0,N(Debts!$E$10)))</f>
        <v>0</v>
      </c>
      <c r="AP106" s="56" t="n">
        <f aca="false">MIN(AF106,MAX(0,N(Debts!$E$11)))</f>
        <v>0</v>
      </c>
      <c r="AQ106" s="56" t="n">
        <f aca="false">MIN(AG106,MAX(0,N(Debts!$E$12)))</f>
        <v>0</v>
      </c>
      <c r="AR106" s="56" t="n">
        <f aca="false">MIN(AH106,MAX(0,N(Debts!$E$13)))</f>
        <v>0</v>
      </c>
      <c r="AS106" s="56" t="n">
        <f aca="false">MIN(AI106,MAX(0,N(Debts!$E$14)))</f>
        <v>0</v>
      </c>
    </row>
    <row r="107" customFormat="false" ht="15" hidden="false" customHeight="false" outlineLevel="0" collapsed="false">
      <c r="A107" s="53" t="n">
        <v>103</v>
      </c>
      <c r="B107" s="54" t="n">
        <f aca="false">EDATE('Start Here'!$B$8,102)</f>
        <v>49430</v>
      </c>
      <c r="C107" s="42" t="n">
        <f aca="false">SUM(F107:O107)</f>
        <v>0</v>
      </c>
      <c r="D107" s="42" t="n">
        <f aca="false">ROUND(SUM($Z107:$AI107)-SUM(P106:Y106),2)</f>
        <v>0</v>
      </c>
      <c r="E107" s="55" t="n">
        <f aca="false">SUM(P107:Y107)</f>
        <v>0</v>
      </c>
      <c r="F107" s="42" t="n">
        <f aca="false">AJ107+MIN(Z107-AJ107,MAX(0,'Start Here'!$B$10-SUM($AJ107:$AS107)-SUMPRODUCT(($Z$3:$AI$3&lt;Z$3)*($Z107:$AI107-$AJ107:$AS107))))</f>
        <v>0</v>
      </c>
      <c r="G107" s="42" t="n">
        <f aca="false">AK107+MIN(AA107-AK107,MAX(0,'Start Here'!$B$10-SUM($AJ107:$AS107)-SUMPRODUCT(($Z$3:$AI$3&lt;AA$3)*($Z107:$AI107-$AJ107:$AS107))))</f>
        <v>0</v>
      </c>
      <c r="H107" s="42" t="n">
        <f aca="false">AL107+MIN(AB107-AL107,MAX(0,'Start Here'!$B$10-SUM($AJ107:$AS107)-SUMPRODUCT(($Z$3:$AI$3&lt;AB$3)*($Z107:$AI107-$AJ107:$AS107))))</f>
        <v>0</v>
      </c>
      <c r="I107" s="42" t="n">
        <f aca="false">AM107+MIN(AC107-AM107,MAX(0,'Start Here'!$B$10-SUM($AJ107:$AS107)-SUMPRODUCT(($Z$3:$AI$3&lt;AC$3)*($Z107:$AI107-$AJ107:$AS107))))</f>
        <v>0</v>
      </c>
      <c r="J107" s="42" t="n">
        <f aca="false">AN107+MIN(AD107-AN107,MAX(0,'Start Here'!$B$10-SUM($AJ107:$AS107)-SUMPRODUCT(($Z$3:$AI$3&lt;AD$3)*($Z107:$AI107-$AJ107:$AS107))))</f>
        <v>0</v>
      </c>
      <c r="K107" s="42" t="n">
        <f aca="false">AO107+MIN(AE107-AO107,MAX(0,'Start Here'!$B$10-SUM($AJ107:$AS107)-SUMPRODUCT(($Z$3:$AI$3&lt;AE$3)*($Z107:$AI107-$AJ107:$AS107))))</f>
        <v>0</v>
      </c>
      <c r="L107" s="42" t="n">
        <f aca="false">AP107+MIN(AF107-AP107,MAX(0,'Start Here'!$B$10-SUM($AJ107:$AS107)-SUMPRODUCT(($Z$3:$AI$3&lt;AF$3)*($Z107:$AI107-$AJ107:$AS107))))</f>
        <v>0</v>
      </c>
      <c r="M107" s="42" t="n">
        <f aca="false">AQ107+MIN(AG107-AQ107,MAX(0,'Start Here'!$B$10-SUM($AJ107:$AS107)-SUMPRODUCT(($Z$3:$AI$3&lt;AG$3)*($Z107:$AI107-$AJ107:$AS107))))</f>
        <v>0</v>
      </c>
      <c r="N107" s="42" t="n">
        <f aca="false">AR107+MIN(AH107-AR107,MAX(0,'Start Here'!$B$10-SUM($AJ107:$AS107)-SUMPRODUCT(($Z$3:$AI$3&lt;AH$3)*($Z107:$AI107-$AJ107:$AS107))))</f>
        <v>0</v>
      </c>
      <c r="O107" s="42" t="n">
        <f aca="false">AS107+MIN(AI107-AS107,MAX(0,'Start Here'!$B$10-SUM($AJ107:$AS107)-SUMPRODUCT(($Z$3:$AI$3&lt;AI$3)*($Z107:$AI107-$AJ107:$AS107))))</f>
        <v>0</v>
      </c>
      <c r="P107" s="42" t="n">
        <f aca="false">ROUND(Z107-F107,2)</f>
        <v>0</v>
      </c>
      <c r="Q107" s="42" t="n">
        <f aca="false">ROUND(AA107-G107,2)</f>
        <v>0</v>
      </c>
      <c r="R107" s="42" t="n">
        <f aca="false">ROUND(AB107-H107,2)</f>
        <v>0</v>
      </c>
      <c r="S107" s="42" t="n">
        <f aca="false">ROUND(AC107-I107,2)</f>
        <v>0</v>
      </c>
      <c r="T107" s="42" t="n">
        <f aca="false">ROUND(AD107-J107,2)</f>
        <v>0</v>
      </c>
      <c r="U107" s="42" t="n">
        <f aca="false">ROUND(AE107-K107,2)</f>
        <v>0</v>
      </c>
      <c r="V107" s="42" t="n">
        <f aca="false">ROUND(AF107-L107,2)</f>
        <v>0</v>
      </c>
      <c r="W107" s="42" t="n">
        <f aca="false">ROUND(AG107-M107,2)</f>
        <v>0</v>
      </c>
      <c r="X107" s="42" t="n">
        <f aca="false">ROUND(AH107-N107,2)</f>
        <v>0</v>
      </c>
      <c r="Y107" s="42" t="n">
        <f aca="false">ROUND(AI107-O107,2)</f>
        <v>0</v>
      </c>
      <c r="Z107" s="56" t="n">
        <f aca="false">ROUND(P106*(1+N(Debts!$D$5)/12),2)</f>
        <v>0</v>
      </c>
      <c r="AA107" s="56" t="n">
        <f aca="false">ROUND(Q106*(1+N(Debts!$D$6)/12),2)</f>
        <v>0</v>
      </c>
      <c r="AB107" s="56" t="n">
        <f aca="false">ROUND(R106*(1+N(Debts!$D$7)/12),2)</f>
        <v>0</v>
      </c>
      <c r="AC107" s="56" t="n">
        <f aca="false">ROUND(S106*(1+N(Debts!$D$8)/12),2)</f>
        <v>0</v>
      </c>
      <c r="AD107" s="56" t="n">
        <f aca="false">ROUND(T106*(1+N(Debts!$D$9)/12),2)</f>
        <v>0</v>
      </c>
      <c r="AE107" s="56" t="n">
        <f aca="false">ROUND(U106*(1+N(Debts!$D$10)/12),2)</f>
        <v>0</v>
      </c>
      <c r="AF107" s="56" t="n">
        <f aca="false">ROUND(V106*(1+N(Debts!$D$11)/12),2)</f>
        <v>0</v>
      </c>
      <c r="AG107" s="56" t="n">
        <f aca="false">ROUND(W106*(1+N(Debts!$D$12)/12),2)</f>
        <v>0</v>
      </c>
      <c r="AH107" s="56" t="n">
        <f aca="false">ROUND(X106*(1+N(Debts!$D$13)/12),2)</f>
        <v>0</v>
      </c>
      <c r="AI107" s="56" t="n">
        <f aca="false">ROUND(Y106*(1+N(Debts!$D$14)/12),2)</f>
        <v>0</v>
      </c>
      <c r="AJ107" s="56" t="n">
        <f aca="false">MIN(Z107,MAX(0,N(Debts!$E$5)))</f>
        <v>0</v>
      </c>
      <c r="AK107" s="56" t="n">
        <f aca="false">MIN(AA107,MAX(0,N(Debts!$E$6)))</f>
        <v>0</v>
      </c>
      <c r="AL107" s="56" t="n">
        <f aca="false">MIN(AB107,MAX(0,N(Debts!$E$7)))</f>
        <v>0</v>
      </c>
      <c r="AM107" s="56" t="n">
        <f aca="false">MIN(AC107,MAX(0,N(Debts!$E$8)))</f>
        <v>0</v>
      </c>
      <c r="AN107" s="56" t="n">
        <f aca="false">MIN(AD107,MAX(0,N(Debts!$E$9)))</f>
        <v>0</v>
      </c>
      <c r="AO107" s="56" t="n">
        <f aca="false">MIN(AE107,MAX(0,N(Debts!$E$10)))</f>
        <v>0</v>
      </c>
      <c r="AP107" s="56" t="n">
        <f aca="false">MIN(AF107,MAX(0,N(Debts!$E$11)))</f>
        <v>0</v>
      </c>
      <c r="AQ107" s="56" t="n">
        <f aca="false">MIN(AG107,MAX(0,N(Debts!$E$12)))</f>
        <v>0</v>
      </c>
      <c r="AR107" s="56" t="n">
        <f aca="false">MIN(AH107,MAX(0,N(Debts!$E$13)))</f>
        <v>0</v>
      </c>
      <c r="AS107" s="56" t="n">
        <f aca="false">MIN(AI107,MAX(0,N(Debts!$E$14)))</f>
        <v>0</v>
      </c>
    </row>
    <row r="108" customFormat="false" ht="15" hidden="false" customHeight="false" outlineLevel="0" collapsed="false">
      <c r="A108" s="53" t="n">
        <v>104</v>
      </c>
      <c r="B108" s="54" t="n">
        <f aca="false">EDATE('Start Here'!$B$8,103)</f>
        <v>49461</v>
      </c>
      <c r="C108" s="42" t="n">
        <f aca="false">SUM(F108:O108)</f>
        <v>0</v>
      </c>
      <c r="D108" s="42" t="n">
        <f aca="false">ROUND(SUM($Z108:$AI108)-SUM(P107:Y107),2)</f>
        <v>0</v>
      </c>
      <c r="E108" s="55" t="n">
        <f aca="false">SUM(P108:Y108)</f>
        <v>0</v>
      </c>
      <c r="F108" s="42" t="n">
        <f aca="false">AJ108+MIN(Z108-AJ108,MAX(0,'Start Here'!$B$10-SUM($AJ108:$AS108)-SUMPRODUCT(($Z$3:$AI$3&lt;Z$3)*($Z108:$AI108-$AJ108:$AS108))))</f>
        <v>0</v>
      </c>
      <c r="G108" s="42" t="n">
        <f aca="false">AK108+MIN(AA108-AK108,MAX(0,'Start Here'!$B$10-SUM($AJ108:$AS108)-SUMPRODUCT(($Z$3:$AI$3&lt;AA$3)*($Z108:$AI108-$AJ108:$AS108))))</f>
        <v>0</v>
      </c>
      <c r="H108" s="42" t="n">
        <f aca="false">AL108+MIN(AB108-AL108,MAX(0,'Start Here'!$B$10-SUM($AJ108:$AS108)-SUMPRODUCT(($Z$3:$AI$3&lt;AB$3)*($Z108:$AI108-$AJ108:$AS108))))</f>
        <v>0</v>
      </c>
      <c r="I108" s="42" t="n">
        <f aca="false">AM108+MIN(AC108-AM108,MAX(0,'Start Here'!$B$10-SUM($AJ108:$AS108)-SUMPRODUCT(($Z$3:$AI$3&lt;AC$3)*($Z108:$AI108-$AJ108:$AS108))))</f>
        <v>0</v>
      </c>
      <c r="J108" s="42" t="n">
        <f aca="false">AN108+MIN(AD108-AN108,MAX(0,'Start Here'!$B$10-SUM($AJ108:$AS108)-SUMPRODUCT(($Z$3:$AI$3&lt;AD$3)*($Z108:$AI108-$AJ108:$AS108))))</f>
        <v>0</v>
      </c>
      <c r="K108" s="42" t="n">
        <f aca="false">AO108+MIN(AE108-AO108,MAX(0,'Start Here'!$B$10-SUM($AJ108:$AS108)-SUMPRODUCT(($Z$3:$AI$3&lt;AE$3)*($Z108:$AI108-$AJ108:$AS108))))</f>
        <v>0</v>
      </c>
      <c r="L108" s="42" t="n">
        <f aca="false">AP108+MIN(AF108-AP108,MAX(0,'Start Here'!$B$10-SUM($AJ108:$AS108)-SUMPRODUCT(($Z$3:$AI$3&lt;AF$3)*($Z108:$AI108-$AJ108:$AS108))))</f>
        <v>0</v>
      </c>
      <c r="M108" s="42" t="n">
        <f aca="false">AQ108+MIN(AG108-AQ108,MAX(0,'Start Here'!$B$10-SUM($AJ108:$AS108)-SUMPRODUCT(($Z$3:$AI$3&lt;AG$3)*($Z108:$AI108-$AJ108:$AS108))))</f>
        <v>0</v>
      </c>
      <c r="N108" s="42" t="n">
        <f aca="false">AR108+MIN(AH108-AR108,MAX(0,'Start Here'!$B$10-SUM($AJ108:$AS108)-SUMPRODUCT(($Z$3:$AI$3&lt;AH$3)*($Z108:$AI108-$AJ108:$AS108))))</f>
        <v>0</v>
      </c>
      <c r="O108" s="42" t="n">
        <f aca="false">AS108+MIN(AI108-AS108,MAX(0,'Start Here'!$B$10-SUM($AJ108:$AS108)-SUMPRODUCT(($Z$3:$AI$3&lt;AI$3)*($Z108:$AI108-$AJ108:$AS108))))</f>
        <v>0</v>
      </c>
      <c r="P108" s="42" t="n">
        <f aca="false">ROUND(Z108-F108,2)</f>
        <v>0</v>
      </c>
      <c r="Q108" s="42" t="n">
        <f aca="false">ROUND(AA108-G108,2)</f>
        <v>0</v>
      </c>
      <c r="R108" s="42" t="n">
        <f aca="false">ROUND(AB108-H108,2)</f>
        <v>0</v>
      </c>
      <c r="S108" s="42" t="n">
        <f aca="false">ROUND(AC108-I108,2)</f>
        <v>0</v>
      </c>
      <c r="T108" s="42" t="n">
        <f aca="false">ROUND(AD108-J108,2)</f>
        <v>0</v>
      </c>
      <c r="U108" s="42" t="n">
        <f aca="false">ROUND(AE108-K108,2)</f>
        <v>0</v>
      </c>
      <c r="V108" s="42" t="n">
        <f aca="false">ROUND(AF108-L108,2)</f>
        <v>0</v>
      </c>
      <c r="W108" s="42" t="n">
        <f aca="false">ROUND(AG108-M108,2)</f>
        <v>0</v>
      </c>
      <c r="X108" s="42" t="n">
        <f aca="false">ROUND(AH108-N108,2)</f>
        <v>0</v>
      </c>
      <c r="Y108" s="42" t="n">
        <f aca="false">ROUND(AI108-O108,2)</f>
        <v>0</v>
      </c>
      <c r="Z108" s="56" t="n">
        <f aca="false">ROUND(P107*(1+N(Debts!$D$5)/12),2)</f>
        <v>0</v>
      </c>
      <c r="AA108" s="56" t="n">
        <f aca="false">ROUND(Q107*(1+N(Debts!$D$6)/12),2)</f>
        <v>0</v>
      </c>
      <c r="AB108" s="56" t="n">
        <f aca="false">ROUND(R107*(1+N(Debts!$D$7)/12),2)</f>
        <v>0</v>
      </c>
      <c r="AC108" s="56" t="n">
        <f aca="false">ROUND(S107*(1+N(Debts!$D$8)/12),2)</f>
        <v>0</v>
      </c>
      <c r="AD108" s="56" t="n">
        <f aca="false">ROUND(T107*(1+N(Debts!$D$9)/12),2)</f>
        <v>0</v>
      </c>
      <c r="AE108" s="56" t="n">
        <f aca="false">ROUND(U107*(1+N(Debts!$D$10)/12),2)</f>
        <v>0</v>
      </c>
      <c r="AF108" s="56" t="n">
        <f aca="false">ROUND(V107*(1+N(Debts!$D$11)/12),2)</f>
        <v>0</v>
      </c>
      <c r="AG108" s="56" t="n">
        <f aca="false">ROUND(W107*(1+N(Debts!$D$12)/12),2)</f>
        <v>0</v>
      </c>
      <c r="AH108" s="56" t="n">
        <f aca="false">ROUND(X107*(1+N(Debts!$D$13)/12),2)</f>
        <v>0</v>
      </c>
      <c r="AI108" s="56" t="n">
        <f aca="false">ROUND(Y107*(1+N(Debts!$D$14)/12),2)</f>
        <v>0</v>
      </c>
      <c r="AJ108" s="56" t="n">
        <f aca="false">MIN(Z108,MAX(0,N(Debts!$E$5)))</f>
        <v>0</v>
      </c>
      <c r="AK108" s="56" t="n">
        <f aca="false">MIN(AA108,MAX(0,N(Debts!$E$6)))</f>
        <v>0</v>
      </c>
      <c r="AL108" s="56" t="n">
        <f aca="false">MIN(AB108,MAX(0,N(Debts!$E$7)))</f>
        <v>0</v>
      </c>
      <c r="AM108" s="56" t="n">
        <f aca="false">MIN(AC108,MAX(0,N(Debts!$E$8)))</f>
        <v>0</v>
      </c>
      <c r="AN108" s="56" t="n">
        <f aca="false">MIN(AD108,MAX(0,N(Debts!$E$9)))</f>
        <v>0</v>
      </c>
      <c r="AO108" s="56" t="n">
        <f aca="false">MIN(AE108,MAX(0,N(Debts!$E$10)))</f>
        <v>0</v>
      </c>
      <c r="AP108" s="56" t="n">
        <f aca="false">MIN(AF108,MAX(0,N(Debts!$E$11)))</f>
        <v>0</v>
      </c>
      <c r="AQ108" s="56" t="n">
        <f aca="false">MIN(AG108,MAX(0,N(Debts!$E$12)))</f>
        <v>0</v>
      </c>
      <c r="AR108" s="56" t="n">
        <f aca="false">MIN(AH108,MAX(0,N(Debts!$E$13)))</f>
        <v>0</v>
      </c>
      <c r="AS108" s="56" t="n">
        <f aca="false">MIN(AI108,MAX(0,N(Debts!$E$14)))</f>
        <v>0</v>
      </c>
    </row>
    <row r="109" customFormat="false" ht="15" hidden="false" customHeight="false" outlineLevel="0" collapsed="false">
      <c r="A109" s="53" t="n">
        <v>105</v>
      </c>
      <c r="B109" s="54" t="n">
        <f aca="false">EDATE('Start Here'!$B$8,104)</f>
        <v>49491</v>
      </c>
      <c r="C109" s="42" t="n">
        <f aca="false">SUM(F109:O109)</f>
        <v>0</v>
      </c>
      <c r="D109" s="42" t="n">
        <f aca="false">ROUND(SUM($Z109:$AI109)-SUM(P108:Y108),2)</f>
        <v>0</v>
      </c>
      <c r="E109" s="55" t="n">
        <f aca="false">SUM(P109:Y109)</f>
        <v>0</v>
      </c>
      <c r="F109" s="42" t="n">
        <f aca="false">AJ109+MIN(Z109-AJ109,MAX(0,'Start Here'!$B$10-SUM($AJ109:$AS109)-SUMPRODUCT(($Z$3:$AI$3&lt;Z$3)*($Z109:$AI109-$AJ109:$AS109))))</f>
        <v>0</v>
      </c>
      <c r="G109" s="42" t="n">
        <f aca="false">AK109+MIN(AA109-AK109,MAX(0,'Start Here'!$B$10-SUM($AJ109:$AS109)-SUMPRODUCT(($Z$3:$AI$3&lt;AA$3)*($Z109:$AI109-$AJ109:$AS109))))</f>
        <v>0</v>
      </c>
      <c r="H109" s="42" t="n">
        <f aca="false">AL109+MIN(AB109-AL109,MAX(0,'Start Here'!$B$10-SUM($AJ109:$AS109)-SUMPRODUCT(($Z$3:$AI$3&lt;AB$3)*($Z109:$AI109-$AJ109:$AS109))))</f>
        <v>0</v>
      </c>
      <c r="I109" s="42" t="n">
        <f aca="false">AM109+MIN(AC109-AM109,MAX(0,'Start Here'!$B$10-SUM($AJ109:$AS109)-SUMPRODUCT(($Z$3:$AI$3&lt;AC$3)*($Z109:$AI109-$AJ109:$AS109))))</f>
        <v>0</v>
      </c>
      <c r="J109" s="42" t="n">
        <f aca="false">AN109+MIN(AD109-AN109,MAX(0,'Start Here'!$B$10-SUM($AJ109:$AS109)-SUMPRODUCT(($Z$3:$AI$3&lt;AD$3)*($Z109:$AI109-$AJ109:$AS109))))</f>
        <v>0</v>
      </c>
      <c r="K109" s="42" t="n">
        <f aca="false">AO109+MIN(AE109-AO109,MAX(0,'Start Here'!$B$10-SUM($AJ109:$AS109)-SUMPRODUCT(($Z$3:$AI$3&lt;AE$3)*($Z109:$AI109-$AJ109:$AS109))))</f>
        <v>0</v>
      </c>
      <c r="L109" s="42" t="n">
        <f aca="false">AP109+MIN(AF109-AP109,MAX(0,'Start Here'!$B$10-SUM($AJ109:$AS109)-SUMPRODUCT(($Z$3:$AI$3&lt;AF$3)*($Z109:$AI109-$AJ109:$AS109))))</f>
        <v>0</v>
      </c>
      <c r="M109" s="42" t="n">
        <f aca="false">AQ109+MIN(AG109-AQ109,MAX(0,'Start Here'!$B$10-SUM($AJ109:$AS109)-SUMPRODUCT(($Z$3:$AI$3&lt;AG$3)*($Z109:$AI109-$AJ109:$AS109))))</f>
        <v>0</v>
      </c>
      <c r="N109" s="42" t="n">
        <f aca="false">AR109+MIN(AH109-AR109,MAX(0,'Start Here'!$B$10-SUM($AJ109:$AS109)-SUMPRODUCT(($Z$3:$AI$3&lt;AH$3)*($Z109:$AI109-$AJ109:$AS109))))</f>
        <v>0</v>
      </c>
      <c r="O109" s="42" t="n">
        <f aca="false">AS109+MIN(AI109-AS109,MAX(0,'Start Here'!$B$10-SUM($AJ109:$AS109)-SUMPRODUCT(($Z$3:$AI$3&lt;AI$3)*($Z109:$AI109-$AJ109:$AS109))))</f>
        <v>0</v>
      </c>
      <c r="P109" s="42" t="n">
        <f aca="false">ROUND(Z109-F109,2)</f>
        <v>0</v>
      </c>
      <c r="Q109" s="42" t="n">
        <f aca="false">ROUND(AA109-G109,2)</f>
        <v>0</v>
      </c>
      <c r="R109" s="42" t="n">
        <f aca="false">ROUND(AB109-H109,2)</f>
        <v>0</v>
      </c>
      <c r="S109" s="42" t="n">
        <f aca="false">ROUND(AC109-I109,2)</f>
        <v>0</v>
      </c>
      <c r="T109" s="42" t="n">
        <f aca="false">ROUND(AD109-J109,2)</f>
        <v>0</v>
      </c>
      <c r="U109" s="42" t="n">
        <f aca="false">ROUND(AE109-K109,2)</f>
        <v>0</v>
      </c>
      <c r="V109" s="42" t="n">
        <f aca="false">ROUND(AF109-L109,2)</f>
        <v>0</v>
      </c>
      <c r="W109" s="42" t="n">
        <f aca="false">ROUND(AG109-M109,2)</f>
        <v>0</v>
      </c>
      <c r="X109" s="42" t="n">
        <f aca="false">ROUND(AH109-N109,2)</f>
        <v>0</v>
      </c>
      <c r="Y109" s="42" t="n">
        <f aca="false">ROUND(AI109-O109,2)</f>
        <v>0</v>
      </c>
      <c r="Z109" s="56" t="n">
        <f aca="false">ROUND(P108*(1+N(Debts!$D$5)/12),2)</f>
        <v>0</v>
      </c>
      <c r="AA109" s="56" t="n">
        <f aca="false">ROUND(Q108*(1+N(Debts!$D$6)/12),2)</f>
        <v>0</v>
      </c>
      <c r="AB109" s="56" t="n">
        <f aca="false">ROUND(R108*(1+N(Debts!$D$7)/12),2)</f>
        <v>0</v>
      </c>
      <c r="AC109" s="56" t="n">
        <f aca="false">ROUND(S108*(1+N(Debts!$D$8)/12),2)</f>
        <v>0</v>
      </c>
      <c r="AD109" s="56" t="n">
        <f aca="false">ROUND(T108*(1+N(Debts!$D$9)/12),2)</f>
        <v>0</v>
      </c>
      <c r="AE109" s="56" t="n">
        <f aca="false">ROUND(U108*(1+N(Debts!$D$10)/12),2)</f>
        <v>0</v>
      </c>
      <c r="AF109" s="56" t="n">
        <f aca="false">ROUND(V108*(1+N(Debts!$D$11)/12),2)</f>
        <v>0</v>
      </c>
      <c r="AG109" s="56" t="n">
        <f aca="false">ROUND(W108*(1+N(Debts!$D$12)/12),2)</f>
        <v>0</v>
      </c>
      <c r="AH109" s="56" t="n">
        <f aca="false">ROUND(X108*(1+N(Debts!$D$13)/12),2)</f>
        <v>0</v>
      </c>
      <c r="AI109" s="56" t="n">
        <f aca="false">ROUND(Y108*(1+N(Debts!$D$14)/12),2)</f>
        <v>0</v>
      </c>
      <c r="AJ109" s="56" t="n">
        <f aca="false">MIN(Z109,MAX(0,N(Debts!$E$5)))</f>
        <v>0</v>
      </c>
      <c r="AK109" s="56" t="n">
        <f aca="false">MIN(AA109,MAX(0,N(Debts!$E$6)))</f>
        <v>0</v>
      </c>
      <c r="AL109" s="56" t="n">
        <f aca="false">MIN(AB109,MAX(0,N(Debts!$E$7)))</f>
        <v>0</v>
      </c>
      <c r="AM109" s="56" t="n">
        <f aca="false">MIN(AC109,MAX(0,N(Debts!$E$8)))</f>
        <v>0</v>
      </c>
      <c r="AN109" s="56" t="n">
        <f aca="false">MIN(AD109,MAX(0,N(Debts!$E$9)))</f>
        <v>0</v>
      </c>
      <c r="AO109" s="56" t="n">
        <f aca="false">MIN(AE109,MAX(0,N(Debts!$E$10)))</f>
        <v>0</v>
      </c>
      <c r="AP109" s="56" t="n">
        <f aca="false">MIN(AF109,MAX(0,N(Debts!$E$11)))</f>
        <v>0</v>
      </c>
      <c r="AQ109" s="56" t="n">
        <f aca="false">MIN(AG109,MAX(0,N(Debts!$E$12)))</f>
        <v>0</v>
      </c>
      <c r="AR109" s="56" t="n">
        <f aca="false">MIN(AH109,MAX(0,N(Debts!$E$13)))</f>
        <v>0</v>
      </c>
      <c r="AS109" s="56" t="n">
        <f aca="false">MIN(AI109,MAX(0,N(Debts!$E$14)))</f>
        <v>0</v>
      </c>
    </row>
    <row r="110" customFormat="false" ht="15" hidden="false" customHeight="false" outlineLevel="0" collapsed="false">
      <c r="A110" s="53" t="n">
        <v>106</v>
      </c>
      <c r="B110" s="54" t="n">
        <f aca="false">EDATE('Start Here'!$B$8,105)</f>
        <v>49522</v>
      </c>
      <c r="C110" s="42" t="n">
        <f aca="false">SUM(F110:O110)</f>
        <v>0</v>
      </c>
      <c r="D110" s="42" t="n">
        <f aca="false">ROUND(SUM($Z110:$AI110)-SUM(P109:Y109),2)</f>
        <v>0</v>
      </c>
      <c r="E110" s="55" t="n">
        <f aca="false">SUM(P110:Y110)</f>
        <v>0</v>
      </c>
      <c r="F110" s="42" t="n">
        <f aca="false">AJ110+MIN(Z110-AJ110,MAX(0,'Start Here'!$B$10-SUM($AJ110:$AS110)-SUMPRODUCT(($Z$3:$AI$3&lt;Z$3)*($Z110:$AI110-$AJ110:$AS110))))</f>
        <v>0</v>
      </c>
      <c r="G110" s="42" t="n">
        <f aca="false">AK110+MIN(AA110-AK110,MAX(0,'Start Here'!$B$10-SUM($AJ110:$AS110)-SUMPRODUCT(($Z$3:$AI$3&lt;AA$3)*($Z110:$AI110-$AJ110:$AS110))))</f>
        <v>0</v>
      </c>
      <c r="H110" s="42" t="n">
        <f aca="false">AL110+MIN(AB110-AL110,MAX(0,'Start Here'!$B$10-SUM($AJ110:$AS110)-SUMPRODUCT(($Z$3:$AI$3&lt;AB$3)*($Z110:$AI110-$AJ110:$AS110))))</f>
        <v>0</v>
      </c>
      <c r="I110" s="42" t="n">
        <f aca="false">AM110+MIN(AC110-AM110,MAX(0,'Start Here'!$B$10-SUM($AJ110:$AS110)-SUMPRODUCT(($Z$3:$AI$3&lt;AC$3)*($Z110:$AI110-$AJ110:$AS110))))</f>
        <v>0</v>
      </c>
      <c r="J110" s="42" t="n">
        <f aca="false">AN110+MIN(AD110-AN110,MAX(0,'Start Here'!$B$10-SUM($AJ110:$AS110)-SUMPRODUCT(($Z$3:$AI$3&lt;AD$3)*($Z110:$AI110-$AJ110:$AS110))))</f>
        <v>0</v>
      </c>
      <c r="K110" s="42" t="n">
        <f aca="false">AO110+MIN(AE110-AO110,MAX(0,'Start Here'!$B$10-SUM($AJ110:$AS110)-SUMPRODUCT(($Z$3:$AI$3&lt;AE$3)*($Z110:$AI110-$AJ110:$AS110))))</f>
        <v>0</v>
      </c>
      <c r="L110" s="42" t="n">
        <f aca="false">AP110+MIN(AF110-AP110,MAX(0,'Start Here'!$B$10-SUM($AJ110:$AS110)-SUMPRODUCT(($Z$3:$AI$3&lt;AF$3)*($Z110:$AI110-$AJ110:$AS110))))</f>
        <v>0</v>
      </c>
      <c r="M110" s="42" t="n">
        <f aca="false">AQ110+MIN(AG110-AQ110,MAX(0,'Start Here'!$B$10-SUM($AJ110:$AS110)-SUMPRODUCT(($Z$3:$AI$3&lt;AG$3)*($Z110:$AI110-$AJ110:$AS110))))</f>
        <v>0</v>
      </c>
      <c r="N110" s="42" t="n">
        <f aca="false">AR110+MIN(AH110-AR110,MAX(0,'Start Here'!$B$10-SUM($AJ110:$AS110)-SUMPRODUCT(($Z$3:$AI$3&lt;AH$3)*($Z110:$AI110-$AJ110:$AS110))))</f>
        <v>0</v>
      </c>
      <c r="O110" s="42" t="n">
        <f aca="false">AS110+MIN(AI110-AS110,MAX(0,'Start Here'!$B$10-SUM($AJ110:$AS110)-SUMPRODUCT(($Z$3:$AI$3&lt;AI$3)*($Z110:$AI110-$AJ110:$AS110))))</f>
        <v>0</v>
      </c>
      <c r="P110" s="42" t="n">
        <f aca="false">ROUND(Z110-F110,2)</f>
        <v>0</v>
      </c>
      <c r="Q110" s="42" t="n">
        <f aca="false">ROUND(AA110-G110,2)</f>
        <v>0</v>
      </c>
      <c r="R110" s="42" t="n">
        <f aca="false">ROUND(AB110-H110,2)</f>
        <v>0</v>
      </c>
      <c r="S110" s="42" t="n">
        <f aca="false">ROUND(AC110-I110,2)</f>
        <v>0</v>
      </c>
      <c r="T110" s="42" t="n">
        <f aca="false">ROUND(AD110-J110,2)</f>
        <v>0</v>
      </c>
      <c r="U110" s="42" t="n">
        <f aca="false">ROUND(AE110-K110,2)</f>
        <v>0</v>
      </c>
      <c r="V110" s="42" t="n">
        <f aca="false">ROUND(AF110-L110,2)</f>
        <v>0</v>
      </c>
      <c r="W110" s="42" t="n">
        <f aca="false">ROUND(AG110-M110,2)</f>
        <v>0</v>
      </c>
      <c r="X110" s="42" t="n">
        <f aca="false">ROUND(AH110-N110,2)</f>
        <v>0</v>
      </c>
      <c r="Y110" s="42" t="n">
        <f aca="false">ROUND(AI110-O110,2)</f>
        <v>0</v>
      </c>
      <c r="Z110" s="56" t="n">
        <f aca="false">ROUND(P109*(1+N(Debts!$D$5)/12),2)</f>
        <v>0</v>
      </c>
      <c r="AA110" s="56" t="n">
        <f aca="false">ROUND(Q109*(1+N(Debts!$D$6)/12),2)</f>
        <v>0</v>
      </c>
      <c r="AB110" s="56" t="n">
        <f aca="false">ROUND(R109*(1+N(Debts!$D$7)/12),2)</f>
        <v>0</v>
      </c>
      <c r="AC110" s="56" t="n">
        <f aca="false">ROUND(S109*(1+N(Debts!$D$8)/12),2)</f>
        <v>0</v>
      </c>
      <c r="AD110" s="56" t="n">
        <f aca="false">ROUND(T109*(1+N(Debts!$D$9)/12),2)</f>
        <v>0</v>
      </c>
      <c r="AE110" s="56" t="n">
        <f aca="false">ROUND(U109*(1+N(Debts!$D$10)/12),2)</f>
        <v>0</v>
      </c>
      <c r="AF110" s="56" t="n">
        <f aca="false">ROUND(V109*(1+N(Debts!$D$11)/12),2)</f>
        <v>0</v>
      </c>
      <c r="AG110" s="56" t="n">
        <f aca="false">ROUND(W109*(1+N(Debts!$D$12)/12),2)</f>
        <v>0</v>
      </c>
      <c r="AH110" s="56" t="n">
        <f aca="false">ROUND(X109*(1+N(Debts!$D$13)/12),2)</f>
        <v>0</v>
      </c>
      <c r="AI110" s="56" t="n">
        <f aca="false">ROUND(Y109*(1+N(Debts!$D$14)/12),2)</f>
        <v>0</v>
      </c>
      <c r="AJ110" s="56" t="n">
        <f aca="false">MIN(Z110,MAX(0,N(Debts!$E$5)))</f>
        <v>0</v>
      </c>
      <c r="AK110" s="56" t="n">
        <f aca="false">MIN(AA110,MAX(0,N(Debts!$E$6)))</f>
        <v>0</v>
      </c>
      <c r="AL110" s="56" t="n">
        <f aca="false">MIN(AB110,MAX(0,N(Debts!$E$7)))</f>
        <v>0</v>
      </c>
      <c r="AM110" s="56" t="n">
        <f aca="false">MIN(AC110,MAX(0,N(Debts!$E$8)))</f>
        <v>0</v>
      </c>
      <c r="AN110" s="56" t="n">
        <f aca="false">MIN(AD110,MAX(0,N(Debts!$E$9)))</f>
        <v>0</v>
      </c>
      <c r="AO110" s="56" t="n">
        <f aca="false">MIN(AE110,MAX(0,N(Debts!$E$10)))</f>
        <v>0</v>
      </c>
      <c r="AP110" s="56" t="n">
        <f aca="false">MIN(AF110,MAX(0,N(Debts!$E$11)))</f>
        <v>0</v>
      </c>
      <c r="AQ110" s="56" t="n">
        <f aca="false">MIN(AG110,MAX(0,N(Debts!$E$12)))</f>
        <v>0</v>
      </c>
      <c r="AR110" s="56" t="n">
        <f aca="false">MIN(AH110,MAX(0,N(Debts!$E$13)))</f>
        <v>0</v>
      </c>
      <c r="AS110" s="56" t="n">
        <f aca="false">MIN(AI110,MAX(0,N(Debts!$E$14)))</f>
        <v>0</v>
      </c>
    </row>
    <row r="111" customFormat="false" ht="15" hidden="false" customHeight="false" outlineLevel="0" collapsed="false">
      <c r="A111" s="53" t="n">
        <v>107</v>
      </c>
      <c r="B111" s="54" t="n">
        <f aca="false">EDATE('Start Here'!$B$8,106)</f>
        <v>49553</v>
      </c>
      <c r="C111" s="42" t="n">
        <f aca="false">SUM(F111:O111)</f>
        <v>0</v>
      </c>
      <c r="D111" s="42" t="n">
        <f aca="false">ROUND(SUM($Z111:$AI111)-SUM(P110:Y110),2)</f>
        <v>0</v>
      </c>
      <c r="E111" s="55" t="n">
        <f aca="false">SUM(P111:Y111)</f>
        <v>0</v>
      </c>
      <c r="F111" s="42" t="n">
        <f aca="false">AJ111+MIN(Z111-AJ111,MAX(0,'Start Here'!$B$10-SUM($AJ111:$AS111)-SUMPRODUCT(($Z$3:$AI$3&lt;Z$3)*($Z111:$AI111-$AJ111:$AS111))))</f>
        <v>0</v>
      </c>
      <c r="G111" s="42" t="n">
        <f aca="false">AK111+MIN(AA111-AK111,MAX(0,'Start Here'!$B$10-SUM($AJ111:$AS111)-SUMPRODUCT(($Z$3:$AI$3&lt;AA$3)*($Z111:$AI111-$AJ111:$AS111))))</f>
        <v>0</v>
      </c>
      <c r="H111" s="42" t="n">
        <f aca="false">AL111+MIN(AB111-AL111,MAX(0,'Start Here'!$B$10-SUM($AJ111:$AS111)-SUMPRODUCT(($Z$3:$AI$3&lt;AB$3)*($Z111:$AI111-$AJ111:$AS111))))</f>
        <v>0</v>
      </c>
      <c r="I111" s="42" t="n">
        <f aca="false">AM111+MIN(AC111-AM111,MAX(0,'Start Here'!$B$10-SUM($AJ111:$AS111)-SUMPRODUCT(($Z$3:$AI$3&lt;AC$3)*($Z111:$AI111-$AJ111:$AS111))))</f>
        <v>0</v>
      </c>
      <c r="J111" s="42" t="n">
        <f aca="false">AN111+MIN(AD111-AN111,MAX(0,'Start Here'!$B$10-SUM($AJ111:$AS111)-SUMPRODUCT(($Z$3:$AI$3&lt;AD$3)*($Z111:$AI111-$AJ111:$AS111))))</f>
        <v>0</v>
      </c>
      <c r="K111" s="42" t="n">
        <f aca="false">AO111+MIN(AE111-AO111,MAX(0,'Start Here'!$B$10-SUM($AJ111:$AS111)-SUMPRODUCT(($Z$3:$AI$3&lt;AE$3)*($Z111:$AI111-$AJ111:$AS111))))</f>
        <v>0</v>
      </c>
      <c r="L111" s="42" t="n">
        <f aca="false">AP111+MIN(AF111-AP111,MAX(0,'Start Here'!$B$10-SUM($AJ111:$AS111)-SUMPRODUCT(($Z$3:$AI$3&lt;AF$3)*($Z111:$AI111-$AJ111:$AS111))))</f>
        <v>0</v>
      </c>
      <c r="M111" s="42" t="n">
        <f aca="false">AQ111+MIN(AG111-AQ111,MAX(0,'Start Here'!$B$10-SUM($AJ111:$AS111)-SUMPRODUCT(($Z$3:$AI$3&lt;AG$3)*($Z111:$AI111-$AJ111:$AS111))))</f>
        <v>0</v>
      </c>
      <c r="N111" s="42" t="n">
        <f aca="false">AR111+MIN(AH111-AR111,MAX(0,'Start Here'!$B$10-SUM($AJ111:$AS111)-SUMPRODUCT(($Z$3:$AI$3&lt;AH$3)*($Z111:$AI111-$AJ111:$AS111))))</f>
        <v>0</v>
      </c>
      <c r="O111" s="42" t="n">
        <f aca="false">AS111+MIN(AI111-AS111,MAX(0,'Start Here'!$B$10-SUM($AJ111:$AS111)-SUMPRODUCT(($Z$3:$AI$3&lt;AI$3)*($Z111:$AI111-$AJ111:$AS111))))</f>
        <v>0</v>
      </c>
      <c r="P111" s="42" t="n">
        <f aca="false">ROUND(Z111-F111,2)</f>
        <v>0</v>
      </c>
      <c r="Q111" s="42" t="n">
        <f aca="false">ROUND(AA111-G111,2)</f>
        <v>0</v>
      </c>
      <c r="R111" s="42" t="n">
        <f aca="false">ROUND(AB111-H111,2)</f>
        <v>0</v>
      </c>
      <c r="S111" s="42" t="n">
        <f aca="false">ROUND(AC111-I111,2)</f>
        <v>0</v>
      </c>
      <c r="T111" s="42" t="n">
        <f aca="false">ROUND(AD111-J111,2)</f>
        <v>0</v>
      </c>
      <c r="U111" s="42" t="n">
        <f aca="false">ROUND(AE111-K111,2)</f>
        <v>0</v>
      </c>
      <c r="V111" s="42" t="n">
        <f aca="false">ROUND(AF111-L111,2)</f>
        <v>0</v>
      </c>
      <c r="W111" s="42" t="n">
        <f aca="false">ROUND(AG111-M111,2)</f>
        <v>0</v>
      </c>
      <c r="X111" s="42" t="n">
        <f aca="false">ROUND(AH111-N111,2)</f>
        <v>0</v>
      </c>
      <c r="Y111" s="42" t="n">
        <f aca="false">ROUND(AI111-O111,2)</f>
        <v>0</v>
      </c>
      <c r="Z111" s="56" t="n">
        <f aca="false">ROUND(P110*(1+N(Debts!$D$5)/12),2)</f>
        <v>0</v>
      </c>
      <c r="AA111" s="56" t="n">
        <f aca="false">ROUND(Q110*(1+N(Debts!$D$6)/12),2)</f>
        <v>0</v>
      </c>
      <c r="AB111" s="56" t="n">
        <f aca="false">ROUND(R110*(1+N(Debts!$D$7)/12),2)</f>
        <v>0</v>
      </c>
      <c r="AC111" s="56" t="n">
        <f aca="false">ROUND(S110*(1+N(Debts!$D$8)/12),2)</f>
        <v>0</v>
      </c>
      <c r="AD111" s="56" t="n">
        <f aca="false">ROUND(T110*(1+N(Debts!$D$9)/12),2)</f>
        <v>0</v>
      </c>
      <c r="AE111" s="56" t="n">
        <f aca="false">ROUND(U110*(1+N(Debts!$D$10)/12),2)</f>
        <v>0</v>
      </c>
      <c r="AF111" s="56" t="n">
        <f aca="false">ROUND(V110*(1+N(Debts!$D$11)/12),2)</f>
        <v>0</v>
      </c>
      <c r="AG111" s="56" t="n">
        <f aca="false">ROUND(W110*(1+N(Debts!$D$12)/12),2)</f>
        <v>0</v>
      </c>
      <c r="AH111" s="56" t="n">
        <f aca="false">ROUND(X110*(1+N(Debts!$D$13)/12),2)</f>
        <v>0</v>
      </c>
      <c r="AI111" s="56" t="n">
        <f aca="false">ROUND(Y110*(1+N(Debts!$D$14)/12),2)</f>
        <v>0</v>
      </c>
      <c r="AJ111" s="56" t="n">
        <f aca="false">MIN(Z111,MAX(0,N(Debts!$E$5)))</f>
        <v>0</v>
      </c>
      <c r="AK111" s="56" t="n">
        <f aca="false">MIN(AA111,MAX(0,N(Debts!$E$6)))</f>
        <v>0</v>
      </c>
      <c r="AL111" s="56" t="n">
        <f aca="false">MIN(AB111,MAX(0,N(Debts!$E$7)))</f>
        <v>0</v>
      </c>
      <c r="AM111" s="56" t="n">
        <f aca="false">MIN(AC111,MAX(0,N(Debts!$E$8)))</f>
        <v>0</v>
      </c>
      <c r="AN111" s="56" t="n">
        <f aca="false">MIN(AD111,MAX(0,N(Debts!$E$9)))</f>
        <v>0</v>
      </c>
      <c r="AO111" s="56" t="n">
        <f aca="false">MIN(AE111,MAX(0,N(Debts!$E$10)))</f>
        <v>0</v>
      </c>
      <c r="AP111" s="56" t="n">
        <f aca="false">MIN(AF111,MAX(0,N(Debts!$E$11)))</f>
        <v>0</v>
      </c>
      <c r="AQ111" s="56" t="n">
        <f aca="false">MIN(AG111,MAX(0,N(Debts!$E$12)))</f>
        <v>0</v>
      </c>
      <c r="AR111" s="56" t="n">
        <f aca="false">MIN(AH111,MAX(0,N(Debts!$E$13)))</f>
        <v>0</v>
      </c>
      <c r="AS111" s="56" t="n">
        <f aca="false">MIN(AI111,MAX(0,N(Debts!$E$14)))</f>
        <v>0</v>
      </c>
    </row>
    <row r="112" customFormat="false" ht="15" hidden="false" customHeight="false" outlineLevel="0" collapsed="false">
      <c r="A112" s="53" t="n">
        <v>108</v>
      </c>
      <c r="B112" s="54" t="n">
        <f aca="false">EDATE('Start Here'!$B$8,107)</f>
        <v>49583</v>
      </c>
      <c r="C112" s="42" t="n">
        <f aca="false">SUM(F112:O112)</f>
        <v>0</v>
      </c>
      <c r="D112" s="42" t="n">
        <f aca="false">ROUND(SUM($Z112:$AI112)-SUM(P111:Y111),2)</f>
        <v>0</v>
      </c>
      <c r="E112" s="55" t="n">
        <f aca="false">SUM(P112:Y112)</f>
        <v>0</v>
      </c>
      <c r="F112" s="42" t="n">
        <f aca="false">AJ112+MIN(Z112-AJ112,MAX(0,'Start Here'!$B$10-SUM($AJ112:$AS112)-SUMPRODUCT(($Z$3:$AI$3&lt;Z$3)*($Z112:$AI112-$AJ112:$AS112))))</f>
        <v>0</v>
      </c>
      <c r="G112" s="42" t="n">
        <f aca="false">AK112+MIN(AA112-AK112,MAX(0,'Start Here'!$B$10-SUM($AJ112:$AS112)-SUMPRODUCT(($Z$3:$AI$3&lt;AA$3)*($Z112:$AI112-$AJ112:$AS112))))</f>
        <v>0</v>
      </c>
      <c r="H112" s="42" t="n">
        <f aca="false">AL112+MIN(AB112-AL112,MAX(0,'Start Here'!$B$10-SUM($AJ112:$AS112)-SUMPRODUCT(($Z$3:$AI$3&lt;AB$3)*($Z112:$AI112-$AJ112:$AS112))))</f>
        <v>0</v>
      </c>
      <c r="I112" s="42" t="n">
        <f aca="false">AM112+MIN(AC112-AM112,MAX(0,'Start Here'!$B$10-SUM($AJ112:$AS112)-SUMPRODUCT(($Z$3:$AI$3&lt;AC$3)*($Z112:$AI112-$AJ112:$AS112))))</f>
        <v>0</v>
      </c>
      <c r="J112" s="42" t="n">
        <f aca="false">AN112+MIN(AD112-AN112,MAX(0,'Start Here'!$B$10-SUM($AJ112:$AS112)-SUMPRODUCT(($Z$3:$AI$3&lt;AD$3)*($Z112:$AI112-$AJ112:$AS112))))</f>
        <v>0</v>
      </c>
      <c r="K112" s="42" t="n">
        <f aca="false">AO112+MIN(AE112-AO112,MAX(0,'Start Here'!$B$10-SUM($AJ112:$AS112)-SUMPRODUCT(($Z$3:$AI$3&lt;AE$3)*($Z112:$AI112-$AJ112:$AS112))))</f>
        <v>0</v>
      </c>
      <c r="L112" s="42" t="n">
        <f aca="false">AP112+MIN(AF112-AP112,MAX(0,'Start Here'!$B$10-SUM($AJ112:$AS112)-SUMPRODUCT(($Z$3:$AI$3&lt;AF$3)*($Z112:$AI112-$AJ112:$AS112))))</f>
        <v>0</v>
      </c>
      <c r="M112" s="42" t="n">
        <f aca="false">AQ112+MIN(AG112-AQ112,MAX(0,'Start Here'!$B$10-SUM($AJ112:$AS112)-SUMPRODUCT(($Z$3:$AI$3&lt;AG$3)*($Z112:$AI112-$AJ112:$AS112))))</f>
        <v>0</v>
      </c>
      <c r="N112" s="42" t="n">
        <f aca="false">AR112+MIN(AH112-AR112,MAX(0,'Start Here'!$B$10-SUM($AJ112:$AS112)-SUMPRODUCT(($Z$3:$AI$3&lt;AH$3)*($Z112:$AI112-$AJ112:$AS112))))</f>
        <v>0</v>
      </c>
      <c r="O112" s="42" t="n">
        <f aca="false">AS112+MIN(AI112-AS112,MAX(0,'Start Here'!$B$10-SUM($AJ112:$AS112)-SUMPRODUCT(($Z$3:$AI$3&lt;AI$3)*($Z112:$AI112-$AJ112:$AS112))))</f>
        <v>0</v>
      </c>
      <c r="P112" s="42" t="n">
        <f aca="false">ROUND(Z112-F112,2)</f>
        <v>0</v>
      </c>
      <c r="Q112" s="42" t="n">
        <f aca="false">ROUND(AA112-G112,2)</f>
        <v>0</v>
      </c>
      <c r="R112" s="42" t="n">
        <f aca="false">ROUND(AB112-H112,2)</f>
        <v>0</v>
      </c>
      <c r="S112" s="42" t="n">
        <f aca="false">ROUND(AC112-I112,2)</f>
        <v>0</v>
      </c>
      <c r="T112" s="42" t="n">
        <f aca="false">ROUND(AD112-J112,2)</f>
        <v>0</v>
      </c>
      <c r="U112" s="42" t="n">
        <f aca="false">ROUND(AE112-K112,2)</f>
        <v>0</v>
      </c>
      <c r="V112" s="42" t="n">
        <f aca="false">ROUND(AF112-L112,2)</f>
        <v>0</v>
      </c>
      <c r="W112" s="42" t="n">
        <f aca="false">ROUND(AG112-M112,2)</f>
        <v>0</v>
      </c>
      <c r="X112" s="42" t="n">
        <f aca="false">ROUND(AH112-N112,2)</f>
        <v>0</v>
      </c>
      <c r="Y112" s="42" t="n">
        <f aca="false">ROUND(AI112-O112,2)</f>
        <v>0</v>
      </c>
      <c r="Z112" s="56" t="n">
        <f aca="false">ROUND(P111*(1+N(Debts!$D$5)/12),2)</f>
        <v>0</v>
      </c>
      <c r="AA112" s="56" t="n">
        <f aca="false">ROUND(Q111*(1+N(Debts!$D$6)/12),2)</f>
        <v>0</v>
      </c>
      <c r="AB112" s="56" t="n">
        <f aca="false">ROUND(R111*(1+N(Debts!$D$7)/12),2)</f>
        <v>0</v>
      </c>
      <c r="AC112" s="56" t="n">
        <f aca="false">ROUND(S111*(1+N(Debts!$D$8)/12),2)</f>
        <v>0</v>
      </c>
      <c r="AD112" s="56" t="n">
        <f aca="false">ROUND(T111*(1+N(Debts!$D$9)/12),2)</f>
        <v>0</v>
      </c>
      <c r="AE112" s="56" t="n">
        <f aca="false">ROUND(U111*(1+N(Debts!$D$10)/12),2)</f>
        <v>0</v>
      </c>
      <c r="AF112" s="56" t="n">
        <f aca="false">ROUND(V111*(1+N(Debts!$D$11)/12),2)</f>
        <v>0</v>
      </c>
      <c r="AG112" s="56" t="n">
        <f aca="false">ROUND(W111*(1+N(Debts!$D$12)/12),2)</f>
        <v>0</v>
      </c>
      <c r="AH112" s="56" t="n">
        <f aca="false">ROUND(X111*(1+N(Debts!$D$13)/12),2)</f>
        <v>0</v>
      </c>
      <c r="AI112" s="56" t="n">
        <f aca="false">ROUND(Y111*(1+N(Debts!$D$14)/12),2)</f>
        <v>0</v>
      </c>
      <c r="AJ112" s="56" t="n">
        <f aca="false">MIN(Z112,MAX(0,N(Debts!$E$5)))</f>
        <v>0</v>
      </c>
      <c r="AK112" s="56" t="n">
        <f aca="false">MIN(AA112,MAX(0,N(Debts!$E$6)))</f>
        <v>0</v>
      </c>
      <c r="AL112" s="56" t="n">
        <f aca="false">MIN(AB112,MAX(0,N(Debts!$E$7)))</f>
        <v>0</v>
      </c>
      <c r="AM112" s="56" t="n">
        <f aca="false">MIN(AC112,MAX(0,N(Debts!$E$8)))</f>
        <v>0</v>
      </c>
      <c r="AN112" s="56" t="n">
        <f aca="false">MIN(AD112,MAX(0,N(Debts!$E$9)))</f>
        <v>0</v>
      </c>
      <c r="AO112" s="56" t="n">
        <f aca="false">MIN(AE112,MAX(0,N(Debts!$E$10)))</f>
        <v>0</v>
      </c>
      <c r="AP112" s="56" t="n">
        <f aca="false">MIN(AF112,MAX(0,N(Debts!$E$11)))</f>
        <v>0</v>
      </c>
      <c r="AQ112" s="56" t="n">
        <f aca="false">MIN(AG112,MAX(0,N(Debts!$E$12)))</f>
        <v>0</v>
      </c>
      <c r="AR112" s="56" t="n">
        <f aca="false">MIN(AH112,MAX(0,N(Debts!$E$13)))</f>
        <v>0</v>
      </c>
      <c r="AS112" s="56" t="n">
        <f aca="false">MIN(AI112,MAX(0,N(Debts!$E$14)))</f>
        <v>0</v>
      </c>
    </row>
    <row r="113" customFormat="false" ht="15" hidden="false" customHeight="false" outlineLevel="0" collapsed="false">
      <c r="A113" s="53" t="n">
        <v>109</v>
      </c>
      <c r="B113" s="54" t="n">
        <f aca="false">EDATE('Start Here'!$B$8,108)</f>
        <v>49614</v>
      </c>
      <c r="C113" s="42" t="n">
        <f aca="false">SUM(F113:O113)</f>
        <v>0</v>
      </c>
      <c r="D113" s="42" t="n">
        <f aca="false">ROUND(SUM($Z113:$AI113)-SUM(P112:Y112),2)</f>
        <v>0</v>
      </c>
      <c r="E113" s="55" t="n">
        <f aca="false">SUM(P113:Y113)</f>
        <v>0</v>
      </c>
      <c r="F113" s="42" t="n">
        <f aca="false">AJ113+MIN(Z113-AJ113,MAX(0,'Start Here'!$B$10-SUM($AJ113:$AS113)-SUMPRODUCT(($Z$3:$AI$3&lt;Z$3)*($Z113:$AI113-$AJ113:$AS113))))</f>
        <v>0</v>
      </c>
      <c r="G113" s="42" t="n">
        <f aca="false">AK113+MIN(AA113-AK113,MAX(0,'Start Here'!$B$10-SUM($AJ113:$AS113)-SUMPRODUCT(($Z$3:$AI$3&lt;AA$3)*($Z113:$AI113-$AJ113:$AS113))))</f>
        <v>0</v>
      </c>
      <c r="H113" s="42" t="n">
        <f aca="false">AL113+MIN(AB113-AL113,MAX(0,'Start Here'!$B$10-SUM($AJ113:$AS113)-SUMPRODUCT(($Z$3:$AI$3&lt;AB$3)*($Z113:$AI113-$AJ113:$AS113))))</f>
        <v>0</v>
      </c>
      <c r="I113" s="42" t="n">
        <f aca="false">AM113+MIN(AC113-AM113,MAX(0,'Start Here'!$B$10-SUM($AJ113:$AS113)-SUMPRODUCT(($Z$3:$AI$3&lt;AC$3)*($Z113:$AI113-$AJ113:$AS113))))</f>
        <v>0</v>
      </c>
      <c r="J113" s="42" t="n">
        <f aca="false">AN113+MIN(AD113-AN113,MAX(0,'Start Here'!$B$10-SUM($AJ113:$AS113)-SUMPRODUCT(($Z$3:$AI$3&lt;AD$3)*($Z113:$AI113-$AJ113:$AS113))))</f>
        <v>0</v>
      </c>
      <c r="K113" s="42" t="n">
        <f aca="false">AO113+MIN(AE113-AO113,MAX(0,'Start Here'!$B$10-SUM($AJ113:$AS113)-SUMPRODUCT(($Z$3:$AI$3&lt;AE$3)*($Z113:$AI113-$AJ113:$AS113))))</f>
        <v>0</v>
      </c>
      <c r="L113" s="42" t="n">
        <f aca="false">AP113+MIN(AF113-AP113,MAX(0,'Start Here'!$B$10-SUM($AJ113:$AS113)-SUMPRODUCT(($Z$3:$AI$3&lt;AF$3)*($Z113:$AI113-$AJ113:$AS113))))</f>
        <v>0</v>
      </c>
      <c r="M113" s="42" t="n">
        <f aca="false">AQ113+MIN(AG113-AQ113,MAX(0,'Start Here'!$B$10-SUM($AJ113:$AS113)-SUMPRODUCT(($Z$3:$AI$3&lt;AG$3)*($Z113:$AI113-$AJ113:$AS113))))</f>
        <v>0</v>
      </c>
      <c r="N113" s="42" t="n">
        <f aca="false">AR113+MIN(AH113-AR113,MAX(0,'Start Here'!$B$10-SUM($AJ113:$AS113)-SUMPRODUCT(($Z$3:$AI$3&lt;AH$3)*($Z113:$AI113-$AJ113:$AS113))))</f>
        <v>0</v>
      </c>
      <c r="O113" s="42" t="n">
        <f aca="false">AS113+MIN(AI113-AS113,MAX(0,'Start Here'!$B$10-SUM($AJ113:$AS113)-SUMPRODUCT(($Z$3:$AI$3&lt;AI$3)*($Z113:$AI113-$AJ113:$AS113))))</f>
        <v>0</v>
      </c>
      <c r="P113" s="42" t="n">
        <f aca="false">ROUND(Z113-F113,2)</f>
        <v>0</v>
      </c>
      <c r="Q113" s="42" t="n">
        <f aca="false">ROUND(AA113-G113,2)</f>
        <v>0</v>
      </c>
      <c r="R113" s="42" t="n">
        <f aca="false">ROUND(AB113-H113,2)</f>
        <v>0</v>
      </c>
      <c r="S113" s="42" t="n">
        <f aca="false">ROUND(AC113-I113,2)</f>
        <v>0</v>
      </c>
      <c r="T113" s="42" t="n">
        <f aca="false">ROUND(AD113-J113,2)</f>
        <v>0</v>
      </c>
      <c r="U113" s="42" t="n">
        <f aca="false">ROUND(AE113-K113,2)</f>
        <v>0</v>
      </c>
      <c r="V113" s="42" t="n">
        <f aca="false">ROUND(AF113-L113,2)</f>
        <v>0</v>
      </c>
      <c r="W113" s="42" t="n">
        <f aca="false">ROUND(AG113-M113,2)</f>
        <v>0</v>
      </c>
      <c r="X113" s="42" t="n">
        <f aca="false">ROUND(AH113-N113,2)</f>
        <v>0</v>
      </c>
      <c r="Y113" s="42" t="n">
        <f aca="false">ROUND(AI113-O113,2)</f>
        <v>0</v>
      </c>
      <c r="Z113" s="56" t="n">
        <f aca="false">ROUND(P112*(1+N(Debts!$D$5)/12),2)</f>
        <v>0</v>
      </c>
      <c r="AA113" s="56" t="n">
        <f aca="false">ROUND(Q112*(1+N(Debts!$D$6)/12),2)</f>
        <v>0</v>
      </c>
      <c r="AB113" s="56" t="n">
        <f aca="false">ROUND(R112*(1+N(Debts!$D$7)/12),2)</f>
        <v>0</v>
      </c>
      <c r="AC113" s="56" t="n">
        <f aca="false">ROUND(S112*(1+N(Debts!$D$8)/12),2)</f>
        <v>0</v>
      </c>
      <c r="AD113" s="56" t="n">
        <f aca="false">ROUND(T112*(1+N(Debts!$D$9)/12),2)</f>
        <v>0</v>
      </c>
      <c r="AE113" s="56" t="n">
        <f aca="false">ROUND(U112*(1+N(Debts!$D$10)/12),2)</f>
        <v>0</v>
      </c>
      <c r="AF113" s="56" t="n">
        <f aca="false">ROUND(V112*(1+N(Debts!$D$11)/12),2)</f>
        <v>0</v>
      </c>
      <c r="AG113" s="56" t="n">
        <f aca="false">ROUND(W112*(1+N(Debts!$D$12)/12),2)</f>
        <v>0</v>
      </c>
      <c r="AH113" s="56" t="n">
        <f aca="false">ROUND(X112*(1+N(Debts!$D$13)/12),2)</f>
        <v>0</v>
      </c>
      <c r="AI113" s="56" t="n">
        <f aca="false">ROUND(Y112*(1+N(Debts!$D$14)/12),2)</f>
        <v>0</v>
      </c>
      <c r="AJ113" s="56" t="n">
        <f aca="false">MIN(Z113,MAX(0,N(Debts!$E$5)))</f>
        <v>0</v>
      </c>
      <c r="AK113" s="56" t="n">
        <f aca="false">MIN(AA113,MAX(0,N(Debts!$E$6)))</f>
        <v>0</v>
      </c>
      <c r="AL113" s="56" t="n">
        <f aca="false">MIN(AB113,MAX(0,N(Debts!$E$7)))</f>
        <v>0</v>
      </c>
      <c r="AM113" s="56" t="n">
        <f aca="false">MIN(AC113,MAX(0,N(Debts!$E$8)))</f>
        <v>0</v>
      </c>
      <c r="AN113" s="56" t="n">
        <f aca="false">MIN(AD113,MAX(0,N(Debts!$E$9)))</f>
        <v>0</v>
      </c>
      <c r="AO113" s="56" t="n">
        <f aca="false">MIN(AE113,MAX(0,N(Debts!$E$10)))</f>
        <v>0</v>
      </c>
      <c r="AP113" s="56" t="n">
        <f aca="false">MIN(AF113,MAX(0,N(Debts!$E$11)))</f>
        <v>0</v>
      </c>
      <c r="AQ113" s="56" t="n">
        <f aca="false">MIN(AG113,MAX(0,N(Debts!$E$12)))</f>
        <v>0</v>
      </c>
      <c r="AR113" s="56" t="n">
        <f aca="false">MIN(AH113,MAX(0,N(Debts!$E$13)))</f>
        <v>0</v>
      </c>
      <c r="AS113" s="56" t="n">
        <f aca="false">MIN(AI113,MAX(0,N(Debts!$E$14)))</f>
        <v>0</v>
      </c>
    </row>
    <row r="114" customFormat="false" ht="15" hidden="false" customHeight="false" outlineLevel="0" collapsed="false">
      <c r="A114" s="53" t="n">
        <v>110</v>
      </c>
      <c r="B114" s="54" t="n">
        <f aca="false">EDATE('Start Here'!$B$8,109)</f>
        <v>49644</v>
      </c>
      <c r="C114" s="42" t="n">
        <f aca="false">SUM(F114:O114)</f>
        <v>0</v>
      </c>
      <c r="D114" s="42" t="n">
        <f aca="false">ROUND(SUM($Z114:$AI114)-SUM(P113:Y113),2)</f>
        <v>0</v>
      </c>
      <c r="E114" s="55" t="n">
        <f aca="false">SUM(P114:Y114)</f>
        <v>0</v>
      </c>
      <c r="F114" s="42" t="n">
        <f aca="false">AJ114+MIN(Z114-AJ114,MAX(0,'Start Here'!$B$10-SUM($AJ114:$AS114)-SUMPRODUCT(($Z$3:$AI$3&lt;Z$3)*($Z114:$AI114-$AJ114:$AS114))))</f>
        <v>0</v>
      </c>
      <c r="G114" s="42" t="n">
        <f aca="false">AK114+MIN(AA114-AK114,MAX(0,'Start Here'!$B$10-SUM($AJ114:$AS114)-SUMPRODUCT(($Z$3:$AI$3&lt;AA$3)*($Z114:$AI114-$AJ114:$AS114))))</f>
        <v>0</v>
      </c>
      <c r="H114" s="42" t="n">
        <f aca="false">AL114+MIN(AB114-AL114,MAX(0,'Start Here'!$B$10-SUM($AJ114:$AS114)-SUMPRODUCT(($Z$3:$AI$3&lt;AB$3)*($Z114:$AI114-$AJ114:$AS114))))</f>
        <v>0</v>
      </c>
      <c r="I114" s="42" t="n">
        <f aca="false">AM114+MIN(AC114-AM114,MAX(0,'Start Here'!$B$10-SUM($AJ114:$AS114)-SUMPRODUCT(($Z$3:$AI$3&lt;AC$3)*($Z114:$AI114-$AJ114:$AS114))))</f>
        <v>0</v>
      </c>
      <c r="J114" s="42" t="n">
        <f aca="false">AN114+MIN(AD114-AN114,MAX(0,'Start Here'!$B$10-SUM($AJ114:$AS114)-SUMPRODUCT(($Z$3:$AI$3&lt;AD$3)*($Z114:$AI114-$AJ114:$AS114))))</f>
        <v>0</v>
      </c>
      <c r="K114" s="42" t="n">
        <f aca="false">AO114+MIN(AE114-AO114,MAX(0,'Start Here'!$B$10-SUM($AJ114:$AS114)-SUMPRODUCT(($Z$3:$AI$3&lt;AE$3)*($Z114:$AI114-$AJ114:$AS114))))</f>
        <v>0</v>
      </c>
      <c r="L114" s="42" t="n">
        <f aca="false">AP114+MIN(AF114-AP114,MAX(0,'Start Here'!$B$10-SUM($AJ114:$AS114)-SUMPRODUCT(($Z$3:$AI$3&lt;AF$3)*($Z114:$AI114-$AJ114:$AS114))))</f>
        <v>0</v>
      </c>
      <c r="M114" s="42" t="n">
        <f aca="false">AQ114+MIN(AG114-AQ114,MAX(0,'Start Here'!$B$10-SUM($AJ114:$AS114)-SUMPRODUCT(($Z$3:$AI$3&lt;AG$3)*($Z114:$AI114-$AJ114:$AS114))))</f>
        <v>0</v>
      </c>
      <c r="N114" s="42" t="n">
        <f aca="false">AR114+MIN(AH114-AR114,MAX(0,'Start Here'!$B$10-SUM($AJ114:$AS114)-SUMPRODUCT(($Z$3:$AI$3&lt;AH$3)*($Z114:$AI114-$AJ114:$AS114))))</f>
        <v>0</v>
      </c>
      <c r="O114" s="42" t="n">
        <f aca="false">AS114+MIN(AI114-AS114,MAX(0,'Start Here'!$B$10-SUM($AJ114:$AS114)-SUMPRODUCT(($Z$3:$AI$3&lt;AI$3)*($Z114:$AI114-$AJ114:$AS114))))</f>
        <v>0</v>
      </c>
      <c r="P114" s="42" t="n">
        <f aca="false">ROUND(Z114-F114,2)</f>
        <v>0</v>
      </c>
      <c r="Q114" s="42" t="n">
        <f aca="false">ROUND(AA114-G114,2)</f>
        <v>0</v>
      </c>
      <c r="R114" s="42" t="n">
        <f aca="false">ROUND(AB114-H114,2)</f>
        <v>0</v>
      </c>
      <c r="S114" s="42" t="n">
        <f aca="false">ROUND(AC114-I114,2)</f>
        <v>0</v>
      </c>
      <c r="T114" s="42" t="n">
        <f aca="false">ROUND(AD114-J114,2)</f>
        <v>0</v>
      </c>
      <c r="U114" s="42" t="n">
        <f aca="false">ROUND(AE114-K114,2)</f>
        <v>0</v>
      </c>
      <c r="V114" s="42" t="n">
        <f aca="false">ROUND(AF114-L114,2)</f>
        <v>0</v>
      </c>
      <c r="W114" s="42" t="n">
        <f aca="false">ROUND(AG114-M114,2)</f>
        <v>0</v>
      </c>
      <c r="X114" s="42" t="n">
        <f aca="false">ROUND(AH114-N114,2)</f>
        <v>0</v>
      </c>
      <c r="Y114" s="42" t="n">
        <f aca="false">ROUND(AI114-O114,2)</f>
        <v>0</v>
      </c>
      <c r="Z114" s="56" t="n">
        <f aca="false">ROUND(P113*(1+N(Debts!$D$5)/12),2)</f>
        <v>0</v>
      </c>
      <c r="AA114" s="56" t="n">
        <f aca="false">ROUND(Q113*(1+N(Debts!$D$6)/12),2)</f>
        <v>0</v>
      </c>
      <c r="AB114" s="56" t="n">
        <f aca="false">ROUND(R113*(1+N(Debts!$D$7)/12),2)</f>
        <v>0</v>
      </c>
      <c r="AC114" s="56" t="n">
        <f aca="false">ROUND(S113*(1+N(Debts!$D$8)/12),2)</f>
        <v>0</v>
      </c>
      <c r="AD114" s="56" t="n">
        <f aca="false">ROUND(T113*(1+N(Debts!$D$9)/12),2)</f>
        <v>0</v>
      </c>
      <c r="AE114" s="56" t="n">
        <f aca="false">ROUND(U113*(1+N(Debts!$D$10)/12),2)</f>
        <v>0</v>
      </c>
      <c r="AF114" s="56" t="n">
        <f aca="false">ROUND(V113*(1+N(Debts!$D$11)/12),2)</f>
        <v>0</v>
      </c>
      <c r="AG114" s="56" t="n">
        <f aca="false">ROUND(W113*(1+N(Debts!$D$12)/12),2)</f>
        <v>0</v>
      </c>
      <c r="AH114" s="56" t="n">
        <f aca="false">ROUND(X113*(1+N(Debts!$D$13)/12),2)</f>
        <v>0</v>
      </c>
      <c r="AI114" s="56" t="n">
        <f aca="false">ROUND(Y113*(1+N(Debts!$D$14)/12),2)</f>
        <v>0</v>
      </c>
      <c r="AJ114" s="56" t="n">
        <f aca="false">MIN(Z114,MAX(0,N(Debts!$E$5)))</f>
        <v>0</v>
      </c>
      <c r="AK114" s="56" t="n">
        <f aca="false">MIN(AA114,MAX(0,N(Debts!$E$6)))</f>
        <v>0</v>
      </c>
      <c r="AL114" s="56" t="n">
        <f aca="false">MIN(AB114,MAX(0,N(Debts!$E$7)))</f>
        <v>0</v>
      </c>
      <c r="AM114" s="56" t="n">
        <f aca="false">MIN(AC114,MAX(0,N(Debts!$E$8)))</f>
        <v>0</v>
      </c>
      <c r="AN114" s="56" t="n">
        <f aca="false">MIN(AD114,MAX(0,N(Debts!$E$9)))</f>
        <v>0</v>
      </c>
      <c r="AO114" s="56" t="n">
        <f aca="false">MIN(AE114,MAX(0,N(Debts!$E$10)))</f>
        <v>0</v>
      </c>
      <c r="AP114" s="56" t="n">
        <f aca="false">MIN(AF114,MAX(0,N(Debts!$E$11)))</f>
        <v>0</v>
      </c>
      <c r="AQ114" s="56" t="n">
        <f aca="false">MIN(AG114,MAX(0,N(Debts!$E$12)))</f>
        <v>0</v>
      </c>
      <c r="AR114" s="56" t="n">
        <f aca="false">MIN(AH114,MAX(0,N(Debts!$E$13)))</f>
        <v>0</v>
      </c>
      <c r="AS114" s="56" t="n">
        <f aca="false">MIN(AI114,MAX(0,N(Debts!$E$14)))</f>
        <v>0</v>
      </c>
    </row>
    <row r="115" customFormat="false" ht="15" hidden="false" customHeight="false" outlineLevel="0" collapsed="false">
      <c r="A115" s="53" t="n">
        <v>111</v>
      </c>
      <c r="B115" s="54" t="n">
        <f aca="false">EDATE('Start Here'!$B$8,110)</f>
        <v>49675</v>
      </c>
      <c r="C115" s="42" t="n">
        <f aca="false">SUM(F115:O115)</f>
        <v>0</v>
      </c>
      <c r="D115" s="42" t="n">
        <f aca="false">ROUND(SUM($Z115:$AI115)-SUM(P114:Y114),2)</f>
        <v>0</v>
      </c>
      <c r="E115" s="55" t="n">
        <f aca="false">SUM(P115:Y115)</f>
        <v>0</v>
      </c>
      <c r="F115" s="42" t="n">
        <f aca="false">AJ115+MIN(Z115-AJ115,MAX(0,'Start Here'!$B$10-SUM($AJ115:$AS115)-SUMPRODUCT(($Z$3:$AI$3&lt;Z$3)*($Z115:$AI115-$AJ115:$AS115))))</f>
        <v>0</v>
      </c>
      <c r="G115" s="42" t="n">
        <f aca="false">AK115+MIN(AA115-AK115,MAX(0,'Start Here'!$B$10-SUM($AJ115:$AS115)-SUMPRODUCT(($Z$3:$AI$3&lt;AA$3)*($Z115:$AI115-$AJ115:$AS115))))</f>
        <v>0</v>
      </c>
      <c r="H115" s="42" t="n">
        <f aca="false">AL115+MIN(AB115-AL115,MAX(0,'Start Here'!$B$10-SUM($AJ115:$AS115)-SUMPRODUCT(($Z$3:$AI$3&lt;AB$3)*($Z115:$AI115-$AJ115:$AS115))))</f>
        <v>0</v>
      </c>
      <c r="I115" s="42" t="n">
        <f aca="false">AM115+MIN(AC115-AM115,MAX(0,'Start Here'!$B$10-SUM($AJ115:$AS115)-SUMPRODUCT(($Z$3:$AI$3&lt;AC$3)*($Z115:$AI115-$AJ115:$AS115))))</f>
        <v>0</v>
      </c>
      <c r="J115" s="42" t="n">
        <f aca="false">AN115+MIN(AD115-AN115,MAX(0,'Start Here'!$B$10-SUM($AJ115:$AS115)-SUMPRODUCT(($Z$3:$AI$3&lt;AD$3)*($Z115:$AI115-$AJ115:$AS115))))</f>
        <v>0</v>
      </c>
      <c r="K115" s="42" t="n">
        <f aca="false">AO115+MIN(AE115-AO115,MAX(0,'Start Here'!$B$10-SUM($AJ115:$AS115)-SUMPRODUCT(($Z$3:$AI$3&lt;AE$3)*($Z115:$AI115-$AJ115:$AS115))))</f>
        <v>0</v>
      </c>
      <c r="L115" s="42" t="n">
        <f aca="false">AP115+MIN(AF115-AP115,MAX(0,'Start Here'!$B$10-SUM($AJ115:$AS115)-SUMPRODUCT(($Z$3:$AI$3&lt;AF$3)*($Z115:$AI115-$AJ115:$AS115))))</f>
        <v>0</v>
      </c>
      <c r="M115" s="42" t="n">
        <f aca="false">AQ115+MIN(AG115-AQ115,MAX(0,'Start Here'!$B$10-SUM($AJ115:$AS115)-SUMPRODUCT(($Z$3:$AI$3&lt;AG$3)*($Z115:$AI115-$AJ115:$AS115))))</f>
        <v>0</v>
      </c>
      <c r="N115" s="42" t="n">
        <f aca="false">AR115+MIN(AH115-AR115,MAX(0,'Start Here'!$B$10-SUM($AJ115:$AS115)-SUMPRODUCT(($Z$3:$AI$3&lt;AH$3)*($Z115:$AI115-$AJ115:$AS115))))</f>
        <v>0</v>
      </c>
      <c r="O115" s="42" t="n">
        <f aca="false">AS115+MIN(AI115-AS115,MAX(0,'Start Here'!$B$10-SUM($AJ115:$AS115)-SUMPRODUCT(($Z$3:$AI$3&lt;AI$3)*($Z115:$AI115-$AJ115:$AS115))))</f>
        <v>0</v>
      </c>
      <c r="P115" s="42" t="n">
        <f aca="false">ROUND(Z115-F115,2)</f>
        <v>0</v>
      </c>
      <c r="Q115" s="42" t="n">
        <f aca="false">ROUND(AA115-G115,2)</f>
        <v>0</v>
      </c>
      <c r="R115" s="42" t="n">
        <f aca="false">ROUND(AB115-H115,2)</f>
        <v>0</v>
      </c>
      <c r="S115" s="42" t="n">
        <f aca="false">ROUND(AC115-I115,2)</f>
        <v>0</v>
      </c>
      <c r="T115" s="42" t="n">
        <f aca="false">ROUND(AD115-J115,2)</f>
        <v>0</v>
      </c>
      <c r="U115" s="42" t="n">
        <f aca="false">ROUND(AE115-K115,2)</f>
        <v>0</v>
      </c>
      <c r="V115" s="42" t="n">
        <f aca="false">ROUND(AF115-L115,2)</f>
        <v>0</v>
      </c>
      <c r="W115" s="42" t="n">
        <f aca="false">ROUND(AG115-M115,2)</f>
        <v>0</v>
      </c>
      <c r="X115" s="42" t="n">
        <f aca="false">ROUND(AH115-N115,2)</f>
        <v>0</v>
      </c>
      <c r="Y115" s="42" t="n">
        <f aca="false">ROUND(AI115-O115,2)</f>
        <v>0</v>
      </c>
      <c r="Z115" s="56" t="n">
        <f aca="false">ROUND(P114*(1+N(Debts!$D$5)/12),2)</f>
        <v>0</v>
      </c>
      <c r="AA115" s="56" t="n">
        <f aca="false">ROUND(Q114*(1+N(Debts!$D$6)/12),2)</f>
        <v>0</v>
      </c>
      <c r="AB115" s="56" t="n">
        <f aca="false">ROUND(R114*(1+N(Debts!$D$7)/12),2)</f>
        <v>0</v>
      </c>
      <c r="AC115" s="56" t="n">
        <f aca="false">ROUND(S114*(1+N(Debts!$D$8)/12),2)</f>
        <v>0</v>
      </c>
      <c r="AD115" s="56" t="n">
        <f aca="false">ROUND(T114*(1+N(Debts!$D$9)/12),2)</f>
        <v>0</v>
      </c>
      <c r="AE115" s="56" t="n">
        <f aca="false">ROUND(U114*(1+N(Debts!$D$10)/12),2)</f>
        <v>0</v>
      </c>
      <c r="AF115" s="56" t="n">
        <f aca="false">ROUND(V114*(1+N(Debts!$D$11)/12),2)</f>
        <v>0</v>
      </c>
      <c r="AG115" s="56" t="n">
        <f aca="false">ROUND(W114*(1+N(Debts!$D$12)/12),2)</f>
        <v>0</v>
      </c>
      <c r="AH115" s="56" t="n">
        <f aca="false">ROUND(X114*(1+N(Debts!$D$13)/12),2)</f>
        <v>0</v>
      </c>
      <c r="AI115" s="56" t="n">
        <f aca="false">ROUND(Y114*(1+N(Debts!$D$14)/12),2)</f>
        <v>0</v>
      </c>
      <c r="AJ115" s="56" t="n">
        <f aca="false">MIN(Z115,MAX(0,N(Debts!$E$5)))</f>
        <v>0</v>
      </c>
      <c r="AK115" s="56" t="n">
        <f aca="false">MIN(AA115,MAX(0,N(Debts!$E$6)))</f>
        <v>0</v>
      </c>
      <c r="AL115" s="56" t="n">
        <f aca="false">MIN(AB115,MAX(0,N(Debts!$E$7)))</f>
        <v>0</v>
      </c>
      <c r="AM115" s="56" t="n">
        <f aca="false">MIN(AC115,MAX(0,N(Debts!$E$8)))</f>
        <v>0</v>
      </c>
      <c r="AN115" s="56" t="n">
        <f aca="false">MIN(AD115,MAX(0,N(Debts!$E$9)))</f>
        <v>0</v>
      </c>
      <c r="AO115" s="56" t="n">
        <f aca="false">MIN(AE115,MAX(0,N(Debts!$E$10)))</f>
        <v>0</v>
      </c>
      <c r="AP115" s="56" t="n">
        <f aca="false">MIN(AF115,MAX(0,N(Debts!$E$11)))</f>
        <v>0</v>
      </c>
      <c r="AQ115" s="56" t="n">
        <f aca="false">MIN(AG115,MAX(0,N(Debts!$E$12)))</f>
        <v>0</v>
      </c>
      <c r="AR115" s="56" t="n">
        <f aca="false">MIN(AH115,MAX(0,N(Debts!$E$13)))</f>
        <v>0</v>
      </c>
      <c r="AS115" s="56" t="n">
        <f aca="false">MIN(AI115,MAX(0,N(Debts!$E$14)))</f>
        <v>0</v>
      </c>
    </row>
    <row r="116" customFormat="false" ht="15" hidden="false" customHeight="false" outlineLevel="0" collapsed="false">
      <c r="A116" s="53" t="n">
        <v>112</v>
      </c>
      <c r="B116" s="54" t="n">
        <f aca="false">EDATE('Start Here'!$B$8,111)</f>
        <v>49706</v>
      </c>
      <c r="C116" s="42" t="n">
        <f aca="false">SUM(F116:O116)</f>
        <v>0</v>
      </c>
      <c r="D116" s="42" t="n">
        <f aca="false">ROUND(SUM($Z116:$AI116)-SUM(P115:Y115),2)</f>
        <v>0</v>
      </c>
      <c r="E116" s="55" t="n">
        <f aca="false">SUM(P116:Y116)</f>
        <v>0</v>
      </c>
      <c r="F116" s="42" t="n">
        <f aca="false">AJ116+MIN(Z116-AJ116,MAX(0,'Start Here'!$B$10-SUM($AJ116:$AS116)-SUMPRODUCT(($Z$3:$AI$3&lt;Z$3)*($Z116:$AI116-$AJ116:$AS116))))</f>
        <v>0</v>
      </c>
      <c r="G116" s="42" t="n">
        <f aca="false">AK116+MIN(AA116-AK116,MAX(0,'Start Here'!$B$10-SUM($AJ116:$AS116)-SUMPRODUCT(($Z$3:$AI$3&lt;AA$3)*($Z116:$AI116-$AJ116:$AS116))))</f>
        <v>0</v>
      </c>
      <c r="H116" s="42" t="n">
        <f aca="false">AL116+MIN(AB116-AL116,MAX(0,'Start Here'!$B$10-SUM($AJ116:$AS116)-SUMPRODUCT(($Z$3:$AI$3&lt;AB$3)*($Z116:$AI116-$AJ116:$AS116))))</f>
        <v>0</v>
      </c>
      <c r="I116" s="42" t="n">
        <f aca="false">AM116+MIN(AC116-AM116,MAX(0,'Start Here'!$B$10-SUM($AJ116:$AS116)-SUMPRODUCT(($Z$3:$AI$3&lt;AC$3)*($Z116:$AI116-$AJ116:$AS116))))</f>
        <v>0</v>
      </c>
      <c r="J116" s="42" t="n">
        <f aca="false">AN116+MIN(AD116-AN116,MAX(0,'Start Here'!$B$10-SUM($AJ116:$AS116)-SUMPRODUCT(($Z$3:$AI$3&lt;AD$3)*($Z116:$AI116-$AJ116:$AS116))))</f>
        <v>0</v>
      </c>
      <c r="K116" s="42" t="n">
        <f aca="false">AO116+MIN(AE116-AO116,MAX(0,'Start Here'!$B$10-SUM($AJ116:$AS116)-SUMPRODUCT(($Z$3:$AI$3&lt;AE$3)*($Z116:$AI116-$AJ116:$AS116))))</f>
        <v>0</v>
      </c>
      <c r="L116" s="42" t="n">
        <f aca="false">AP116+MIN(AF116-AP116,MAX(0,'Start Here'!$B$10-SUM($AJ116:$AS116)-SUMPRODUCT(($Z$3:$AI$3&lt;AF$3)*($Z116:$AI116-$AJ116:$AS116))))</f>
        <v>0</v>
      </c>
      <c r="M116" s="42" t="n">
        <f aca="false">AQ116+MIN(AG116-AQ116,MAX(0,'Start Here'!$B$10-SUM($AJ116:$AS116)-SUMPRODUCT(($Z$3:$AI$3&lt;AG$3)*($Z116:$AI116-$AJ116:$AS116))))</f>
        <v>0</v>
      </c>
      <c r="N116" s="42" t="n">
        <f aca="false">AR116+MIN(AH116-AR116,MAX(0,'Start Here'!$B$10-SUM($AJ116:$AS116)-SUMPRODUCT(($Z$3:$AI$3&lt;AH$3)*($Z116:$AI116-$AJ116:$AS116))))</f>
        <v>0</v>
      </c>
      <c r="O116" s="42" t="n">
        <f aca="false">AS116+MIN(AI116-AS116,MAX(0,'Start Here'!$B$10-SUM($AJ116:$AS116)-SUMPRODUCT(($Z$3:$AI$3&lt;AI$3)*($Z116:$AI116-$AJ116:$AS116))))</f>
        <v>0</v>
      </c>
      <c r="P116" s="42" t="n">
        <f aca="false">ROUND(Z116-F116,2)</f>
        <v>0</v>
      </c>
      <c r="Q116" s="42" t="n">
        <f aca="false">ROUND(AA116-G116,2)</f>
        <v>0</v>
      </c>
      <c r="R116" s="42" t="n">
        <f aca="false">ROUND(AB116-H116,2)</f>
        <v>0</v>
      </c>
      <c r="S116" s="42" t="n">
        <f aca="false">ROUND(AC116-I116,2)</f>
        <v>0</v>
      </c>
      <c r="T116" s="42" t="n">
        <f aca="false">ROUND(AD116-J116,2)</f>
        <v>0</v>
      </c>
      <c r="U116" s="42" t="n">
        <f aca="false">ROUND(AE116-K116,2)</f>
        <v>0</v>
      </c>
      <c r="V116" s="42" t="n">
        <f aca="false">ROUND(AF116-L116,2)</f>
        <v>0</v>
      </c>
      <c r="W116" s="42" t="n">
        <f aca="false">ROUND(AG116-M116,2)</f>
        <v>0</v>
      </c>
      <c r="X116" s="42" t="n">
        <f aca="false">ROUND(AH116-N116,2)</f>
        <v>0</v>
      </c>
      <c r="Y116" s="42" t="n">
        <f aca="false">ROUND(AI116-O116,2)</f>
        <v>0</v>
      </c>
      <c r="Z116" s="56" t="n">
        <f aca="false">ROUND(P115*(1+N(Debts!$D$5)/12),2)</f>
        <v>0</v>
      </c>
      <c r="AA116" s="56" t="n">
        <f aca="false">ROUND(Q115*(1+N(Debts!$D$6)/12),2)</f>
        <v>0</v>
      </c>
      <c r="AB116" s="56" t="n">
        <f aca="false">ROUND(R115*(1+N(Debts!$D$7)/12),2)</f>
        <v>0</v>
      </c>
      <c r="AC116" s="56" t="n">
        <f aca="false">ROUND(S115*(1+N(Debts!$D$8)/12),2)</f>
        <v>0</v>
      </c>
      <c r="AD116" s="56" t="n">
        <f aca="false">ROUND(T115*(1+N(Debts!$D$9)/12),2)</f>
        <v>0</v>
      </c>
      <c r="AE116" s="56" t="n">
        <f aca="false">ROUND(U115*(1+N(Debts!$D$10)/12),2)</f>
        <v>0</v>
      </c>
      <c r="AF116" s="56" t="n">
        <f aca="false">ROUND(V115*(1+N(Debts!$D$11)/12),2)</f>
        <v>0</v>
      </c>
      <c r="AG116" s="56" t="n">
        <f aca="false">ROUND(W115*(1+N(Debts!$D$12)/12),2)</f>
        <v>0</v>
      </c>
      <c r="AH116" s="56" t="n">
        <f aca="false">ROUND(X115*(1+N(Debts!$D$13)/12),2)</f>
        <v>0</v>
      </c>
      <c r="AI116" s="56" t="n">
        <f aca="false">ROUND(Y115*(1+N(Debts!$D$14)/12),2)</f>
        <v>0</v>
      </c>
      <c r="AJ116" s="56" t="n">
        <f aca="false">MIN(Z116,MAX(0,N(Debts!$E$5)))</f>
        <v>0</v>
      </c>
      <c r="AK116" s="56" t="n">
        <f aca="false">MIN(AA116,MAX(0,N(Debts!$E$6)))</f>
        <v>0</v>
      </c>
      <c r="AL116" s="56" t="n">
        <f aca="false">MIN(AB116,MAX(0,N(Debts!$E$7)))</f>
        <v>0</v>
      </c>
      <c r="AM116" s="56" t="n">
        <f aca="false">MIN(AC116,MAX(0,N(Debts!$E$8)))</f>
        <v>0</v>
      </c>
      <c r="AN116" s="56" t="n">
        <f aca="false">MIN(AD116,MAX(0,N(Debts!$E$9)))</f>
        <v>0</v>
      </c>
      <c r="AO116" s="56" t="n">
        <f aca="false">MIN(AE116,MAX(0,N(Debts!$E$10)))</f>
        <v>0</v>
      </c>
      <c r="AP116" s="56" t="n">
        <f aca="false">MIN(AF116,MAX(0,N(Debts!$E$11)))</f>
        <v>0</v>
      </c>
      <c r="AQ116" s="56" t="n">
        <f aca="false">MIN(AG116,MAX(0,N(Debts!$E$12)))</f>
        <v>0</v>
      </c>
      <c r="AR116" s="56" t="n">
        <f aca="false">MIN(AH116,MAX(0,N(Debts!$E$13)))</f>
        <v>0</v>
      </c>
      <c r="AS116" s="56" t="n">
        <f aca="false">MIN(AI116,MAX(0,N(Debts!$E$14)))</f>
        <v>0</v>
      </c>
    </row>
    <row r="117" customFormat="false" ht="15" hidden="false" customHeight="false" outlineLevel="0" collapsed="false">
      <c r="A117" s="53" t="n">
        <v>113</v>
      </c>
      <c r="B117" s="54" t="n">
        <f aca="false">EDATE('Start Here'!$B$8,112)</f>
        <v>49735</v>
      </c>
      <c r="C117" s="42" t="n">
        <f aca="false">SUM(F117:O117)</f>
        <v>0</v>
      </c>
      <c r="D117" s="42" t="n">
        <f aca="false">ROUND(SUM($Z117:$AI117)-SUM(P116:Y116),2)</f>
        <v>0</v>
      </c>
      <c r="E117" s="55" t="n">
        <f aca="false">SUM(P117:Y117)</f>
        <v>0</v>
      </c>
      <c r="F117" s="42" t="n">
        <f aca="false">AJ117+MIN(Z117-AJ117,MAX(0,'Start Here'!$B$10-SUM($AJ117:$AS117)-SUMPRODUCT(($Z$3:$AI$3&lt;Z$3)*($Z117:$AI117-$AJ117:$AS117))))</f>
        <v>0</v>
      </c>
      <c r="G117" s="42" t="n">
        <f aca="false">AK117+MIN(AA117-AK117,MAX(0,'Start Here'!$B$10-SUM($AJ117:$AS117)-SUMPRODUCT(($Z$3:$AI$3&lt;AA$3)*($Z117:$AI117-$AJ117:$AS117))))</f>
        <v>0</v>
      </c>
      <c r="H117" s="42" t="n">
        <f aca="false">AL117+MIN(AB117-AL117,MAX(0,'Start Here'!$B$10-SUM($AJ117:$AS117)-SUMPRODUCT(($Z$3:$AI$3&lt;AB$3)*($Z117:$AI117-$AJ117:$AS117))))</f>
        <v>0</v>
      </c>
      <c r="I117" s="42" t="n">
        <f aca="false">AM117+MIN(AC117-AM117,MAX(0,'Start Here'!$B$10-SUM($AJ117:$AS117)-SUMPRODUCT(($Z$3:$AI$3&lt;AC$3)*($Z117:$AI117-$AJ117:$AS117))))</f>
        <v>0</v>
      </c>
      <c r="J117" s="42" t="n">
        <f aca="false">AN117+MIN(AD117-AN117,MAX(0,'Start Here'!$B$10-SUM($AJ117:$AS117)-SUMPRODUCT(($Z$3:$AI$3&lt;AD$3)*($Z117:$AI117-$AJ117:$AS117))))</f>
        <v>0</v>
      </c>
      <c r="K117" s="42" t="n">
        <f aca="false">AO117+MIN(AE117-AO117,MAX(0,'Start Here'!$B$10-SUM($AJ117:$AS117)-SUMPRODUCT(($Z$3:$AI$3&lt;AE$3)*($Z117:$AI117-$AJ117:$AS117))))</f>
        <v>0</v>
      </c>
      <c r="L117" s="42" t="n">
        <f aca="false">AP117+MIN(AF117-AP117,MAX(0,'Start Here'!$B$10-SUM($AJ117:$AS117)-SUMPRODUCT(($Z$3:$AI$3&lt;AF$3)*($Z117:$AI117-$AJ117:$AS117))))</f>
        <v>0</v>
      </c>
      <c r="M117" s="42" t="n">
        <f aca="false">AQ117+MIN(AG117-AQ117,MAX(0,'Start Here'!$B$10-SUM($AJ117:$AS117)-SUMPRODUCT(($Z$3:$AI$3&lt;AG$3)*($Z117:$AI117-$AJ117:$AS117))))</f>
        <v>0</v>
      </c>
      <c r="N117" s="42" t="n">
        <f aca="false">AR117+MIN(AH117-AR117,MAX(0,'Start Here'!$B$10-SUM($AJ117:$AS117)-SUMPRODUCT(($Z$3:$AI$3&lt;AH$3)*($Z117:$AI117-$AJ117:$AS117))))</f>
        <v>0</v>
      </c>
      <c r="O117" s="42" t="n">
        <f aca="false">AS117+MIN(AI117-AS117,MAX(0,'Start Here'!$B$10-SUM($AJ117:$AS117)-SUMPRODUCT(($Z$3:$AI$3&lt;AI$3)*($Z117:$AI117-$AJ117:$AS117))))</f>
        <v>0</v>
      </c>
      <c r="P117" s="42" t="n">
        <f aca="false">ROUND(Z117-F117,2)</f>
        <v>0</v>
      </c>
      <c r="Q117" s="42" t="n">
        <f aca="false">ROUND(AA117-G117,2)</f>
        <v>0</v>
      </c>
      <c r="R117" s="42" t="n">
        <f aca="false">ROUND(AB117-H117,2)</f>
        <v>0</v>
      </c>
      <c r="S117" s="42" t="n">
        <f aca="false">ROUND(AC117-I117,2)</f>
        <v>0</v>
      </c>
      <c r="T117" s="42" t="n">
        <f aca="false">ROUND(AD117-J117,2)</f>
        <v>0</v>
      </c>
      <c r="U117" s="42" t="n">
        <f aca="false">ROUND(AE117-K117,2)</f>
        <v>0</v>
      </c>
      <c r="V117" s="42" t="n">
        <f aca="false">ROUND(AF117-L117,2)</f>
        <v>0</v>
      </c>
      <c r="W117" s="42" t="n">
        <f aca="false">ROUND(AG117-M117,2)</f>
        <v>0</v>
      </c>
      <c r="X117" s="42" t="n">
        <f aca="false">ROUND(AH117-N117,2)</f>
        <v>0</v>
      </c>
      <c r="Y117" s="42" t="n">
        <f aca="false">ROUND(AI117-O117,2)</f>
        <v>0</v>
      </c>
      <c r="Z117" s="56" t="n">
        <f aca="false">ROUND(P116*(1+N(Debts!$D$5)/12),2)</f>
        <v>0</v>
      </c>
      <c r="AA117" s="56" t="n">
        <f aca="false">ROUND(Q116*(1+N(Debts!$D$6)/12),2)</f>
        <v>0</v>
      </c>
      <c r="AB117" s="56" t="n">
        <f aca="false">ROUND(R116*(1+N(Debts!$D$7)/12),2)</f>
        <v>0</v>
      </c>
      <c r="AC117" s="56" t="n">
        <f aca="false">ROUND(S116*(1+N(Debts!$D$8)/12),2)</f>
        <v>0</v>
      </c>
      <c r="AD117" s="56" t="n">
        <f aca="false">ROUND(T116*(1+N(Debts!$D$9)/12),2)</f>
        <v>0</v>
      </c>
      <c r="AE117" s="56" t="n">
        <f aca="false">ROUND(U116*(1+N(Debts!$D$10)/12),2)</f>
        <v>0</v>
      </c>
      <c r="AF117" s="56" t="n">
        <f aca="false">ROUND(V116*(1+N(Debts!$D$11)/12),2)</f>
        <v>0</v>
      </c>
      <c r="AG117" s="56" t="n">
        <f aca="false">ROUND(W116*(1+N(Debts!$D$12)/12),2)</f>
        <v>0</v>
      </c>
      <c r="AH117" s="56" t="n">
        <f aca="false">ROUND(X116*(1+N(Debts!$D$13)/12),2)</f>
        <v>0</v>
      </c>
      <c r="AI117" s="56" t="n">
        <f aca="false">ROUND(Y116*(1+N(Debts!$D$14)/12),2)</f>
        <v>0</v>
      </c>
      <c r="AJ117" s="56" t="n">
        <f aca="false">MIN(Z117,MAX(0,N(Debts!$E$5)))</f>
        <v>0</v>
      </c>
      <c r="AK117" s="56" t="n">
        <f aca="false">MIN(AA117,MAX(0,N(Debts!$E$6)))</f>
        <v>0</v>
      </c>
      <c r="AL117" s="56" t="n">
        <f aca="false">MIN(AB117,MAX(0,N(Debts!$E$7)))</f>
        <v>0</v>
      </c>
      <c r="AM117" s="56" t="n">
        <f aca="false">MIN(AC117,MAX(0,N(Debts!$E$8)))</f>
        <v>0</v>
      </c>
      <c r="AN117" s="56" t="n">
        <f aca="false">MIN(AD117,MAX(0,N(Debts!$E$9)))</f>
        <v>0</v>
      </c>
      <c r="AO117" s="56" t="n">
        <f aca="false">MIN(AE117,MAX(0,N(Debts!$E$10)))</f>
        <v>0</v>
      </c>
      <c r="AP117" s="56" t="n">
        <f aca="false">MIN(AF117,MAX(0,N(Debts!$E$11)))</f>
        <v>0</v>
      </c>
      <c r="AQ117" s="56" t="n">
        <f aca="false">MIN(AG117,MAX(0,N(Debts!$E$12)))</f>
        <v>0</v>
      </c>
      <c r="AR117" s="56" t="n">
        <f aca="false">MIN(AH117,MAX(0,N(Debts!$E$13)))</f>
        <v>0</v>
      </c>
      <c r="AS117" s="56" t="n">
        <f aca="false">MIN(AI117,MAX(0,N(Debts!$E$14)))</f>
        <v>0</v>
      </c>
    </row>
    <row r="118" customFormat="false" ht="15" hidden="false" customHeight="false" outlineLevel="0" collapsed="false">
      <c r="A118" s="53" t="n">
        <v>114</v>
      </c>
      <c r="B118" s="54" t="n">
        <f aca="false">EDATE('Start Here'!$B$8,113)</f>
        <v>49766</v>
      </c>
      <c r="C118" s="42" t="n">
        <f aca="false">SUM(F118:O118)</f>
        <v>0</v>
      </c>
      <c r="D118" s="42" t="n">
        <f aca="false">ROUND(SUM($Z118:$AI118)-SUM(P117:Y117),2)</f>
        <v>0</v>
      </c>
      <c r="E118" s="55" t="n">
        <f aca="false">SUM(P118:Y118)</f>
        <v>0</v>
      </c>
      <c r="F118" s="42" t="n">
        <f aca="false">AJ118+MIN(Z118-AJ118,MAX(0,'Start Here'!$B$10-SUM($AJ118:$AS118)-SUMPRODUCT(($Z$3:$AI$3&lt;Z$3)*($Z118:$AI118-$AJ118:$AS118))))</f>
        <v>0</v>
      </c>
      <c r="G118" s="42" t="n">
        <f aca="false">AK118+MIN(AA118-AK118,MAX(0,'Start Here'!$B$10-SUM($AJ118:$AS118)-SUMPRODUCT(($Z$3:$AI$3&lt;AA$3)*($Z118:$AI118-$AJ118:$AS118))))</f>
        <v>0</v>
      </c>
      <c r="H118" s="42" t="n">
        <f aca="false">AL118+MIN(AB118-AL118,MAX(0,'Start Here'!$B$10-SUM($AJ118:$AS118)-SUMPRODUCT(($Z$3:$AI$3&lt;AB$3)*($Z118:$AI118-$AJ118:$AS118))))</f>
        <v>0</v>
      </c>
      <c r="I118" s="42" t="n">
        <f aca="false">AM118+MIN(AC118-AM118,MAX(0,'Start Here'!$B$10-SUM($AJ118:$AS118)-SUMPRODUCT(($Z$3:$AI$3&lt;AC$3)*($Z118:$AI118-$AJ118:$AS118))))</f>
        <v>0</v>
      </c>
      <c r="J118" s="42" t="n">
        <f aca="false">AN118+MIN(AD118-AN118,MAX(0,'Start Here'!$B$10-SUM($AJ118:$AS118)-SUMPRODUCT(($Z$3:$AI$3&lt;AD$3)*($Z118:$AI118-$AJ118:$AS118))))</f>
        <v>0</v>
      </c>
      <c r="K118" s="42" t="n">
        <f aca="false">AO118+MIN(AE118-AO118,MAX(0,'Start Here'!$B$10-SUM($AJ118:$AS118)-SUMPRODUCT(($Z$3:$AI$3&lt;AE$3)*($Z118:$AI118-$AJ118:$AS118))))</f>
        <v>0</v>
      </c>
      <c r="L118" s="42" t="n">
        <f aca="false">AP118+MIN(AF118-AP118,MAX(0,'Start Here'!$B$10-SUM($AJ118:$AS118)-SUMPRODUCT(($Z$3:$AI$3&lt;AF$3)*($Z118:$AI118-$AJ118:$AS118))))</f>
        <v>0</v>
      </c>
      <c r="M118" s="42" t="n">
        <f aca="false">AQ118+MIN(AG118-AQ118,MAX(0,'Start Here'!$B$10-SUM($AJ118:$AS118)-SUMPRODUCT(($Z$3:$AI$3&lt;AG$3)*($Z118:$AI118-$AJ118:$AS118))))</f>
        <v>0</v>
      </c>
      <c r="N118" s="42" t="n">
        <f aca="false">AR118+MIN(AH118-AR118,MAX(0,'Start Here'!$B$10-SUM($AJ118:$AS118)-SUMPRODUCT(($Z$3:$AI$3&lt;AH$3)*($Z118:$AI118-$AJ118:$AS118))))</f>
        <v>0</v>
      </c>
      <c r="O118" s="42" t="n">
        <f aca="false">AS118+MIN(AI118-AS118,MAX(0,'Start Here'!$B$10-SUM($AJ118:$AS118)-SUMPRODUCT(($Z$3:$AI$3&lt;AI$3)*($Z118:$AI118-$AJ118:$AS118))))</f>
        <v>0</v>
      </c>
      <c r="P118" s="42" t="n">
        <f aca="false">ROUND(Z118-F118,2)</f>
        <v>0</v>
      </c>
      <c r="Q118" s="42" t="n">
        <f aca="false">ROUND(AA118-G118,2)</f>
        <v>0</v>
      </c>
      <c r="R118" s="42" t="n">
        <f aca="false">ROUND(AB118-H118,2)</f>
        <v>0</v>
      </c>
      <c r="S118" s="42" t="n">
        <f aca="false">ROUND(AC118-I118,2)</f>
        <v>0</v>
      </c>
      <c r="T118" s="42" t="n">
        <f aca="false">ROUND(AD118-J118,2)</f>
        <v>0</v>
      </c>
      <c r="U118" s="42" t="n">
        <f aca="false">ROUND(AE118-K118,2)</f>
        <v>0</v>
      </c>
      <c r="V118" s="42" t="n">
        <f aca="false">ROUND(AF118-L118,2)</f>
        <v>0</v>
      </c>
      <c r="W118" s="42" t="n">
        <f aca="false">ROUND(AG118-M118,2)</f>
        <v>0</v>
      </c>
      <c r="X118" s="42" t="n">
        <f aca="false">ROUND(AH118-N118,2)</f>
        <v>0</v>
      </c>
      <c r="Y118" s="42" t="n">
        <f aca="false">ROUND(AI118-O118,2)</f>
        <v>0</v>
      </c>
      <c r="Z118" s="56" t="n">
        <f aca="false">ROUND(P117*(1+N(Debts!$D$5)/12),2)</f>
        <v>0</v>
      </c>
      <c r="AA118" s="56" t="n">
        <f aca="false">ROUND(Q117*(1+N(Debts!$D$6)/12),2)</f>
        <v>0</v>
      </c>
      <c r="AB118" s="56" t="n">
        <f aca="false">ROUND(R117*(1+N(Debts!$D$7)/12),2)</f>
        <v>0</v>
      </c>
      <c r="AC118" s="56" t="n">
        <f aca="false">ROUND(S117*(1+N(Debts!$D$8)/12),2)</f>
        <v>0</v>
      </c>
      <c r="AD118" s="56" t="n">
        <f aca="false">ROUND(T117*(1+N(Debts!$D$9)/12),2)</f>
        <v>0</v>
      </c>
      <c r="AE118" s="56" t="n">
        <f aca="false">ROUND(U117*(1+N(Debts!$D$10)/12),2)</f>
        <v>0</v>
      </c>
      <c r="AF118" s="56" t="n">
        <f aca="false">ROUND(V117*(1+N(Debts!$D$11)/12),2)</f>
        <v>0</v>
      </c>
      <c r="AG118" s="56" t="n">
        <f aca="false">ROUND(W117*(1+N(Debts!$D$12)/12),2)</f>
        <v>0</v>
      </c>
      <c r="AH118" s="56" t="n">
        <f aca="false">ROUND(X117*(1+N(Debts!$D$13)/12),2)</f>
        <v>0</v>
      </c>
      <c r="AI118" s="56" t="n">
        <f aca="false">ROUND(Y117*(1+N(Debts!$D$14)/12),2)</f>
        <v>0</v>
      </c>
      <c r="AJ118" s="56" t="n">
        <f aca="false">MIN(Z118,MAX(0,N(Debts!$E$5)))</f>
        <v>0</v>
      </c>
      <c r="AK118" s="56" t="n">
        <f aca="false">MIN(AA118,MAX(0,N(Debts!$E$6)))</f>
        <v>0</v>
      </c>
      <c r="AL118" s="56" t="n">
        <f aca="false">MIN(AB118,MAX(0,N(Debts!$E$7)))</f>
        <v>0</v>
      </c>
      <c r="AM118" s="56" t="n">
        <f aca="false">MIN(AC118,MAX(0,N(Debts!$E$8)))</f>
        <v>0</v>
      </c>
      <c r="AN118" s="56" t="n">
        <f aca="false">MIN(AD118,MAX(0,N(Debts!$E$9)))</f>
        <v>0</v>
      </c>
      <c r="AO118" s="56" t="n">
        <f aca="false">MIN(AE118,MAX(0,N(Debts!$E$10)))</f>
        <v>0</v>
      </c>
      <c r="AP118" s="56" t="n">
        <f aca="false">MIN(AF118,MAX(0,N(Debts!$E$11)))</f>
        <v>0</v>
      </c>
      <c r="AQ118" s="56" t="n">
        <f aca="false">MIN(AG118,MAX(0,N(Debts!$E$12)))</f>
        <v>0</v>
      </c>
      <c r="AR118" s="56" t="n">
        <f aca="false">MIN(AH118,MAX(0,N(Debts!$E$13)))</f>
        <v>0</v>
      </c>
      <c r="AS118" s="56" t="n">
        <f aca="false">MIN(AI118,MAX(0,N(Debts!$E$14)))</f>
        <v>0</v>
      </c>
    </row>
    <row r="119" customFormat="false" ht="15" hidden="false" customHeight="false" outlineLevel="0" collapsed="false">
      <c r="A119" s="53" t="n">
        <v>115</v>
      </c>
      <c r="B119" s="54" t="n">
        <f aca="false">EDATE('Start Here'!$B$8,114)</f>
        <v>49796</v>
      </c>
      <c r="C119" s="42" t="n">
        <f aca="false">SUM(F119:O119)</f>
        <v>0</v>
      </c>
      <c r="D119" s="42" t="n">
        <f aca="false">ROUND(SUM($Z119:$AI119)-SUM(P118:Y118),2)</f>
        <v>0</v>
      </c>
      <c r="E119" s="55" t="n">
        <f aca="false">SUM(P119:Y119)</f>
        <v>0</v>
      </c>
      <c r="F119" s="42" t="n">
        <f aca="false">AJ119+MIN(Z119-AJ119,MAX(0,'Start Here'!$B$10-SUM($AJ119:$AS119)-SUMPRODUCT(($Z$3:$AI$3&lt;Z$3)*($Z119:$AI119-$AJ119:$AS119))))</f>
        <v>0</v>
      </c>
      <c r="G119" s="42" t="n">
        <f aca="false">AK119+MIN(AA119-AK119,MAX(0,'Start Here'!$B$10-SUM($AJ119:$AS119)-SUMPRODUCT(($Z$3:$AI$3&lt;AA$3)*($Z119:$AI119-$AJ119:$AS119))))</f>
        <v>0</v>
      </c>
      <c r="H119" s="42" t="n">
        <f aca="false">AL119+MIN(AB119-AL119,MAX(0,'Start Here'!$B$10-SUM($AJ119:$AS119)-SUMPRODUCT(($Z$3:$AI$3&lt;AB$3)*($Z119:$AI119-$AJ119:$AS119))))</f>
        <v>0</v>
      </c>
      <c r="I119" s="42" t="n">
        <f aca="false">AM119+MIN(AC119-AM119,MAX(0,'Start Here'!$B$10-SUM($AJ119:$AS119)-SUMPRODUCT(($Z$3:$AI$3&lt;AC$3)*($Z119:$AI119-$AJ119:$AS119))))</f>
        <v>0</v>
      </c>
      <c r="J119" s="42" t="n">
        <f aca="false">AN119+MIN(AD119-AN119,MAX(0,'Start Here'!$B$10-SUM($AJ119:$AS119)-SUMPRODUCT(($Z$3:$AI$3&lt;AD$3)*($Z119:$AI119-$AJ119:$AS119))))</f>
        <v>0</v>
      </c>
      <c r="K119" s="42" t="n">
        <f aca="false">AO119+MIN(AE119-AO119,MAX(0,'Start Here'!$B$10-SUM($AJ119:$AS119)-SUMPRODUCT(($Z$3:$AI$3&lt;AE$3)*($Z119:$AI119-$AJ119:$AS119))))</f>
        <v>0</v>
      </c>
      <c r="L119" s="42" t="n">
        <f aca="false">AP119+MIN(AF119-AP119,MAX(0,'Start Here'!$B$10-SUM($AJ119:$AS119)-SUMPRODUCT(($Z$3:$AI$3&lt;AF$3)*($Z119:$AI119-$AJ119:$AS119))))</f>
        <v>0</v>
      </c>
      <c r="M119" s="42" t="n">
        <f aca="false">AQ119+MIN(AG119-AQ119,MAX(0,'Start Here'!$B$10-SUM($AJ119:$AS119)-SUMPRODUCT(($Z$3:$AI$3&lt;AG$3)*($Z119:$AI119-$AJ119:$AS119))))</f>
        <v>0</v>
      </c>
      <c r="N119" s="42" t="n">
        <f aca="false">AR119+MIN(AH119-AR119,MAX(0,'Start Here'!$B$10-SUM($AJ119:$AS119)-SUMPRODUCT(($Z$3:$AI$3&lt;AH$3)*($Z119:$AI119-$AJ119:$AS119))))</f>
        <v>0</v>
      </c>
      <c r="O119" s="42" t="n">
        <f aca="false">AS119+MIN(AI119-AS119,MAX(0,'Start Here'!$B$10-SUM($AJ119:$AS119)-SUMPRODUCT(($Z$3:$AI$3&lt;AI$3)*($Z119:$AI119-$AJ119:$AS119))))</f>
        <v>0</v>
      </c>
      <c r="P119" s="42" t="n">
        <f aca="false">ROUND(Z119-F119,2)</f>
        <v>0</v>
      </c>
      <c r="Q119" s="42" t="n">
        <f aca="false">ROUND(AA119-G119,2)</f>
        <v>0</v>
      </c>
      <c r="R119" s="42" t="n">
        <f aca="false">ROUND(AB119-H119,2)</f>
        <v>0</v>
      </c>
      <c r="S119" s="42" t="n">
        <f aca="false">ROUND(AC119-I119,2)</f>
        <v>0</v>
      </c>
      <c r="T119" s="42" t="n">
        <f aca="false">ROUND(AD119-J119,2)</f>
        <v>0</v>
      </c>
      <c r="U119" s="42" t="n">
        <f aca="false">ROUND(AE119-K119,2)</f>
        <v>0</v>
      </c>
      <c r="V119" s="42" t="n">
        <f aca="false">ROUND(AF119-L119,2)</f>
        <v>0</v>
      </c>
      <c r="W119" s="42" t="n">
        <f aca="false">ROUND(AG119-M119,2)</f>
        <v>0</v>
      </c>
      <c r="X119" s="42" t="n">
        <f aca="false">ROUND(AH119-N119,2)</f>
        <v>0</v>
      </c>
      <c r="Y119" s="42" t="n">
        <f aca="false">ROUND(AI119-O119,2)</f>
        <v>0</v>
      </c>
      <c r="Z119" s="56" t="n">
        <f aca="false">ROUND(P118*(1+N(Debts!$D$5)/12),2)</f>
        <v>0</v>
      </c>
      <c r="AA119" s="56" t="n">
        <f aca="false">ROUND(Q118*(1+N(Debts!$D$6)/12),2)</f>
        <v>0</v>
      </c>
      <c r="AB119" s="56" t="n">
        <f aca="false">ROUND(R118*(1+N(Debts!$D$7)/12),2)</f>
        <v>0</v>
      </c>
      <c r="AC119" s="56" t="n">
        <f aca="false">ROUND(S118*(1+N(Debts!$D$8)/12),2)</f>
        <v>0</v>
      </c>
      <c r="AD119" s="56" t="n">
        <f aca="false">ROUND(T118*(1+N(Debts!$D$9)/12),2)</f>
        <v>0</v>
      </c>
      <c r="AE119" s="56" t="n">
        <f aca="false">ROUND(U118*(1+N(Debts!$D$10)/12),2)</f>
        <v>0</v>
      </c>
      <c r="AF119" s="56" t="n">
        <f aca="false">ROUND(V118*(1+N(Debts!$D$11)/12),2)</f>
        <v>0</v>
      </c>
      <c r="AG119" s="56" t="n">
        <f aca="false">ROUND(W118*(1+N(Debts!$D$12)/12),2)</f>
        <v>0</v>
      </c>
      <c r="AH119" s="56" t="n">
        <f aca="false">ROUND(X118*(1+N(Debts!$D$13)/12),2)</f>
        <v>0</v>
      </c>
      <c r="AI119" s="56" t="n">
        <f aca="false">ROUND(Y118*(1+N(Debts!$D$14)/12),2)</f>
        <v>0</v>
      </c>
      <c r="AJ119" s="56" t="n">
        <f aca="false">MIN(Z119,MAX(0,N(Debts!$E$5)))</f>
        <v>0</v>
      </c>
      <c r="AK119" s="56" t="n">
        <f aca="false">MIN(AA119,MAX(0,N(Debts!$E$6)))</f>
        <v>0</v>
      </c>
      <c r="AL119" s="56" t="n">
        <f aca="false">MIN(AB119,MAX(0,N(Debts!$E$7)))</f>
        <v>0</v>
      </c>
      <c r="AM119" s="56" t="n">
        <f aca="false">MIN(AC119,MAX(0,N(Debts!$E$8)))</f>
        <v>0</v>
      </c>
      <c r="AN119" s="56" t="n">
        <f aca="false">MIN(AD119,MAX(0,N(Debts!$E$9)))</f>
        <v>0</v>
      </c>
      <c r="AO119" s="56" t="n">
        <f aca="false">MIN(AE119,MAX(0,N(Debts!$E$10)))</f>
        <v>0</v>
      </c>
      <c r="AP119" s="56" t="n">
        <f aca="false">MIN(AF119,MAX(0,N(Debts!$E$11)))</f>
        <v>0</v>
      </c>
      <c r="AQ119" s="56" t="n">
        <f aca="false">MIN(AG119,MAX(0,N(Debts!$E$12)))</f>
        <v>0</v>
      </c>
      <c r="AR119" s="56" t="n">
        <f aca="false">MIN(AH119,MAX(0,N(Debts!$E$13)))</f>
        <v>0</v>
      </c>
      <c r="AS119" s="56" t="n">
        <f aca="false">MIN(AI119,MAX(0,N(Debts!$E$14)))</f>
        <v>0</v>
      </c>
    </row>
    <row r="120" customFormat="false" ht="15" hidden="false" customHeight="false" outlineLevel="0" collapsed="false">
      <c r="A120" s="53" t="n">
        <v>116</v>
      </c>
      <c r="B120" s="54" t="n">
        <f aca="false">EDATE('Start Here'!$B$8,115)</f>
        <v>49827</v>
      </c>
      <c r="C120" s="42" t="n">
        <f aca="false">SUM(F120:O120)</f>
        <v>0</v>
      </c>
      <c r="D120" s="42" t="n">
        <f aca="false">ROUND(SUM($Z120:$AI120)-SUM(P119:Y119),2)</f>
        <v>0</v>
      </c>
      <c r="E120" s="55" t="n">
        <f aca="false">SUM(P120:Y120)</f>
        <v>0</v>
      </c>
      <c r="F120" s="42" t="n">
        <f aca="false">AJ120+MIN(Z120-AJ120,MAX(0,'Start Here'!$B$10-SUM($AJ120:$AS120)-SUMPRODUCT(($Z$3:$AI$3&lt;Z$3)*($Z120:$AI120-$AJ120:$AS120))))</f>
        <v>0</v>
      </c>
      <c r="G120" s="42" t="n">
        <f aca="false">AK120+MIN(AA120-AK120,MAX(0,'Start Here'!$B$10-SUM($AJ120:$AS120)-SUMPRODUCT(($Z$3:$AI$3&lt;AA$3)*($Z120:$AI120-$AJ120:$AS120))))</f>
        <v>0</v>
      </c>
      <c r="H120" s="42" t="n">
        <f aca="false">AL120+MIN(AB120-AL120,MAX(0,'Start Here'!$B$10-SUM($AJ120:$AS120)-SUMPRODUCT(($Z$3:$AI$3&lt;AB$3)*($Z120:$AI120-$AJ120:$AS120))))</f>
        <v>0</v>
      </c>
      <c r="I120" s="42" t="n">
        <f aca="false">AM120+MIN(AC120-AM120,MAX(0,'Start Here'!$B$10-SUM($AJ120:$AS120)-SUMPRODUCT(($Z$3:$AI$3&lt;AC$3)*($Z120:$AI120-$AJ120:$AS120))))</f>
        <v>0</v>
      </c>
      <c r="J120" s="42" t="n">
        <f aca="false">AN120+MIN(AD120-AN120,MAX(0,'Start Here'!$B$10-SUM($AJ120:$AS120)-SUMPRODUCT(($Z$3:$AI$3&lt;AD$3)*($Z120:$AI120-$AJ120:$AS120))))</f>
        <v>0</v>
      </c>
      <c r="K120" s="42" t="n">
        <f aca="false">AO120+MIN(AE120-AO120,MAX(0,'Start Here'!$B$10-SUM($AJ120:$AS120)-SUMPRODUCT(($Z$3:$AI$3&lt;AE$3)*($Z120:$AI120-$AJ120:$AS120))))</f>
        <v>0</v>
      </c>
      <c r="L120" s="42" t="n">
        <f aca="false">AP120+MIN(AF120-AP120,MAX(0,'Start Here'!$B$10-SUM($AJ120:$AS120)-SUMPRODUCT(($Z$3:$AI$3&lt;AF$3)*($Z120:$AI120-$AJ120:$AS120))))</f>
        <v>0</v>
      </c>
      <c r="M120" s="42" t="n">
        <f aca="false">AQ120+MIN(AG120-AQ120,MAX(0,'Start Here'!$B$10-SUM($AJ120:$AS120)-SUMPRODUCT(($Z$3:$AI$3&lt;AG$3)*($Z120:$AI120-$AJ120:$AS120))))</f>
        <v>0</v>
      </c>
      <c r="N120" s="42" t="n">
        <f aca="false">AR120+MIN(AH120-AR120,MAX(0,'Start Here'!$B$10-SUM($AJ120:$AS120)-SUMPRODUCT(($Z$3:$AI$3&lt;AH$3)*($Z120:$AI120-$AJ120:$AS120))))</f>
        <v>0</v>
      </c>
      <c r="O120" s="42" t="n">
        <f aca="false">AS120+MIN(AI120-AS120,MAX(0,'Start Here'!$B$10-SUM($AJ120:$AS120)-SUMPRODUCT(($Z$3:$AI$3&lt;AI$3)*($Z120:$AI120-$AJ120:$AS120))))</f>
        <v>0</v>
      </c>
      <c r="P120" s="42" t="n">
        <f aca="false">ROUND(Z120-F120,2)</f>
        <v>0</v>
      </c>
      <c r="Q120" s="42" t="n">
        <f aca="false">ROUND(AA120-G120,2)</f>
        <v>0</v>
      </c>
      <c r="R120" s="42" t="n">
        <f aca="false">ROUND(AB120-H120,2)</f>
        <v>0</v>
      </c>
      <c r="S120" s="42" t="n">
        <f aca="false">ROUND(AC120-I120,2)</f>
        <v>0</v>
      </c>
      <c r="T120" s="42" t="n">
        <f aca="false">ROUND(AD120-J120,2)</f>
        <v>0</v>
      </c>
      <c r="U120" s="42" t="n">
        <f aca="false">ROUND(AE120-K120,2)</f>
        <v>0</v>
      </c>
      <c r="V120" s="42" t="n">
        <f aca="false">ROUND(AF120-L120,2)</f>
        <v>0</v>
      </c>
      <c r="W120" s="42" t="n">
        <f aca="false">ROUND(AG120-M120,2)</f>
        <v>0</v>
      </c>
      <c r="X120" s="42" t="n">
        <f aca="false">ROUND(AH120-N120,2)</f>
        <v>0</v>
      </c>
      <c r="Y120" s="42" t="n">
        <f aca="false">ROUND(AI120-O120,2)</f>
        <v>0</v>
      </c>
      <c r="Z120" s="56" t="n">
        <f aca="false">ROUND(P119*(1+N(Debts!$D$5)/12),2)</f>
        <v>0</v>
      </c>
      <c r="AA120" s="56" t="n">
        <f aca="false">ROUND(Q119*(1+N(Debts!$D$6)/12),2)</f>
        <v>0</v>
      </c>
      <c r="AB120" s="56" t="n">
        <f aca="false">ROUND(R119*(1+N(Debts!$D$7)/12),2)</f>
        <v>0</v>
      </c>
      <c r="AC120" s="56" t="n">
        <f aca="false">ROUND(S119*(1+N(Debts!$D$8)/12),2)</f>
        <v>0</v>
      </c>
      <c r="AD120" s="56" t="n">
        <f aca="false">ROUND(T119*(1+N(Debts!$D$9)/12),2)</f>
        <v>0</v>
      </c>
      <c r="AE120" s="56" t="n">
        <f aca="false">ROUND(U119*(1+N(Debts!$D$10)/12),2)</f>
        <v>0</v>
      </c>
      <c r="AF120" s="56" t="n">
        <f aca="false">ROUND(V119*(1+N(Debts!$D$11)/12),2)</f>
        <v>0</v>
      </c>
      <c r="AG120" s="56" t="n">
        <f aca="false">ROUND(W119*(1+N(Debts!$D$12)/12),2)</f>
        <v>0</v>
      </c>
      <c r="AH120" s="56" t="n">
        <f aca="false">ROUND(X119*(1+N(Debts!$D$13)/12),2)</f>
        <v>0</v>
      </c>
      <c r="AI120" s="56" t="n">
        <f aca="false">ROUND(Y119*(1+N(Debts!$D$14)/12),2)</f>
        <v>0</v>
      </c>
      <c r="AJ120" s="56" t="n">
        <f aca="false">MIN(Z120,MAX(0,N(Debts!$E$5)))</f>
        <v>0</v>
      </c>
      <c r="AK120" s="56" t="n">
        <f aca="false">MIN(AA120,MAX(0,N(Debts!$E$6)))</f>
        <v>0</v>
      </c>
      <c r="AL120" s="56" t="n">
        <f aca="false">MIN(AB120,MAX(0,N(Debts!$E$7)))</f>
        <v>0</v>
      </c>
      <c r="AM120" s="56" t="n">
        <f aca="false">MIN(AC120,MAX(0,N(Debts!$E$8)))</f>
        <v>0</v>
      </c>
      <c r="AN120" s="56" t="n">
        <f aca="false">MIN(AD120,MAX(0,N(Debts!$E$9)))</f>
        <v>0</v>
      </c>
      <c r="AO120" s="56" t="n">
        <f aca="false">MIN(AE120,MAX(0,N(Debts!$E$10)))</f>
        <v>0</v>
      </c>
      <c r="AP120" s="56" t="n">
        <f aca="false">MIN(AF120,MAX(0,N(Debts!$E$11)))</f>
        <v>0</v>
      </c>
      <c r="AQ120" s="56" t="n">
        <f aca="false">MIN(AG120,MAX(0,N(Debts!$E$12)))</f>
        <v>0</v>
      </c>
      <c r="AR120" s="56" t="n">
        <f aca="false">MIN(AH120,MAX(0,N(Debts!$E$13)))</f>
        <v>0</v>
      </c>
      <c r="AS120" s="56" t="n">
        <f aca="false">MIN(AI120,MAX(0,N(Debts!$E$14)))</f>
        <v>0</v>
      </c>
    </row>
    <row r="121" customFormat="false" ht="15" hidden="false" customHeight="false" outlineLevel="0" collapsed="false">
      <c r="A121" s="53" t="n">
        <v>117</v>
      </c>
      <c r="B121" s="54" t="n">
        <f aca="false">EDATE('Start Here'!$B$8,116)</f>
        <v>49857</v>
      </c>
      <c r="C121" s="42" t="n">
        <f aca="false">SUM(F121:O121)</f>
        <v>0</v>
      </c>
      <c r="D121" s="42" t="n">
        <f aca="false">ROUND(SUM($Z121:$AI121)-SUM(P120:Y120),2)</f>
        <v>0</v>
      </c>
      <c r="E121" s="55" t="n">
        <f aca="false">SUM(P121:Y121)</f>
        <v>0</v>
      </c>
      <c r="F121" s="42" t="n">
        <f aca="false">AJ121+MIN(Z121-AJ121,MAX(0,'Start Here'!$B$10-SUM($AJ121:$AS121)-SUMPRODUCT(($Z$3:$AI$3&lt;Z$3)*($Z121:$AI121-$AJ121:$AS121))))</f>
        <v>0</v>
      </c>
      <c r="G121" s="42" t="n">
        <f aca="false">AK121+MIN(AA121-AK121,MAX(0,'Start Here'!$B$10-SUM($AJ121:$AS121)-SUMPRODUCT(($Z$3:$AI$3&lt;AA$3)*($Z121:$AI121-$AJ121:$AS121))))</f>
        <v>0</v>
      </c>
      <c r="H121" s="42" t="n">
        <f aca="false">AL121+MIN(AB121-AL121,MAX(0,'Start Here'!$B$10-SUM($AJ121:$AS121)-SUMPRODUCT(($Z$3:$AI$3&lt;AB$3)*($Z121:$AI121-$AJ121:$AS121))))</f>
        <v>0</v>
      </c>
      <c r="I121" s="42" t="n">
        <f aca="false">AM121+MIN(AC121-AM121,MAX(0,'Start Here'!$B$10-SUM($AJ121:$AS121)-SUMPRODUCT(($Z$3:$AI$3&lt;AC$3)*($Z121:$AI121-$AJ121:$AS121))))</f>
        <v>0</v>
      </c>
      <c r="J121" s="42" t="n">
        <f aca="false">AN121+MIN(AD121-AN121,MAX(0,'Start Here'!$B$10-SUM($AJ121:$AS121)-SUMPRODUCT(($Z$3:$AI$3&lt;AD$3)*($Z121:$AI121-$AJ121:$AS121))))</f>
        <v>0</v>
      </c>
      <c r="K121" s="42" t="n">
        <f aca="false">AO121+MIN(AE121-AO121,MAX(0,'Start Here'!$B$10-SUM($AJ121:$AS121)-SUMPRODUCT(($Z$3:$AI$3&lt;AE$3)*($Z121:$AI121-$AJ121:$AS121))))</f>
        <v>0</v>
      </c>
      <c r="L121" s="42" t="n">
        <f aca="false">AP121+MIN(AF121-AP121,MAX(0,'Start Here'!$B$10-SUM($AJ121:$AS121)-SUMPRODUCT(($Z$3:$AI$3&lt;AF$3)*($Z121:$AI121-$AJ121:$AS121))))</f>
        <v>0</v>
      </c>
      <c r="M121" s="42" t="n">
        <f aca="false">AQ121+MIN(AG121-AQ121,MAX(0,'Start Here'!$B$10-SUM($AJ121:$AS121)-SUMPRODUCT(($Z$3:$AI$3&lt;AG$3)*($Z121:$AI121-$AJ121:$AS121))))</f>
        <v>0</v>
      </c>
      <c r="N121" s="42" t="n">
        <f aca="false">AR121+MIN(AH121-AR121,MAX(0,'Start Here'!$B$10-SUM($AJ121:$AS121)-SUMPRODUCT(($Z$3:$AI$3&lt;AH$3)*($Z121:$AI121-$AJ121:$AS121))))</f>
        <v>0</v>
      </c>
      <c r="O121" s="42" t="n">
        <f aca="false">AS121+MIN(AI121-AS121,MAX(0,'Start Here'!$B$10-SUM($AJ121:$AS121)-SUMPRODUCT(($Z$3:$AI$3&lt;AI$3)*($Z121:$AI121-$AJ121:$AS121))))</f>
        <v>0</v>
      </c>
      <c r="P121" s="42" t="n">
        <f aca="false">ROUND(Z121-F121,2)</f>
        <v>0</v>
      </c>
      <c r="Q121" s="42" t="n">
        <f aca="false">ROUND(AA121-G121,2)</f>
        <v>0</v>
      </c>
      <c r="R121" s="42" t="n">
        <f aca="false">ROUND(AB121-H121,2)</f>
        <v>0</v>
      </c>
      <c r="S121" s="42" t="n">
        <f aca="false">ROUND(AC121-I121,2)</f>
        <v>0</v>
      </c>
      <c r="T121" s="42" t="n">
        <f aca="false">ROUND(AD121-J121,2)</f>
        <v>0</v>
      </c>
      <c r="U121" s="42" t="n">
        <f aca="false">ROUND(AE121-K121,2)</f>
        <v>0</v>
      </c>
      <c r="V121" s="42" t="n">
        <f aca="false">ROUND(AF121-L121,2)</f>
        <v>0</v>
      </c>
      <c r="W121" s="42" t="n">
        <f aca="false">ROUND(AG121-M121,2)</f>
        <v>0</v>
      </c>
      <c r="X121" s="42" t="n">
        <f aca="false">ROUND(AH121-N121,2)</f>
        <v>0</v>
      </c>
      <c r="Y121" s="42" t="n">
        <f aca="false">ROUND(AI121-O121,2)</f>
        <v>0</v>
      </c>
      <c r="Z121" s="56" t="n">
        <f aca="false">ROUND(P120*(1+N(Debts!$D$5)/12),2)</f>
        <v>0</v>
      </c>
      <c r="AA121" s="56" t="n">
        <f aca="false">ROUND(Q120*(1+N(Debts!$D$6)/12),2)</f>
        <v>0</v>
      </c>
      <c r="AB121" s="56" t="n">
        <f aca="false">ROUND(R120*(1+N(Debts!$D$7)/12),2)</f>
        <v>0</v>
      </c>
      <c r="AC121" s="56" t="n">
        <f aca="false">ROUND(S120*(1+N(Debts!$D$8)/12),2)</f>
        <v>0</v>
      </c>
      <c r="AD121" s="56" t="n">
        <f aca="false">ROUND(T120*(1+N(Debts!$D$9)/12),2)</f>
        <v>0</v>
      </c>
      <c r="AE121" s="56" t="n">
        <f aca="false">ROUND(U120*(1+N(Debts!$D$10)/12),2)</f>
        <v>0</v>
      </c>
      <c r="AF121" s="56" t="n">
        <f aca="false">ROUND(V120*(1+N(Debts!$D$11)/12),2)</f>
        <v>0</v>
      </c>
      <c r="AG121" s="56" t="n">
        <f aca="false">ROUND(W120*(1+N(Debts!$D$12)/12),2)</f>
        <v>0</v>
      </c>
      <c r="AH121" s="56" t="n">
        <f aca="false">ROUND(X120*(1+N(Debts!$D$13)/12),2)</f>
        <v>0</v>
      </c>
      <c r="AI121" s="56" t="n">
        <f aca="false">ROUND(Y120*(1+N(Debts!$D$14)/12),2)</f>
        <v>0</v>
      </c>
      <c r="AJ121" s="56" t="n">
        <f aca="false">MIN(Z121,MAX(0,N(Debts!$E$5)))</f>
        <v>0</v>
      </c>
      <c r="AK121" s="56" t="n">
        <f aca="false">MIN(AA121,MAX(0,N(Debts!$E$6)))</f>
        <v>0</v>
      </c>
      <c r="AL121" s="56" t="n">
        <f aca="false">MIN(AB121,MAX(0,N(Debts!$E$7)))</f>
        <v>0</v>
      </c>
      <c r="AM121" s="56" t="n">
        <f aca="false">MIN(AC121,MAX(0,N(Debts!$E$8)))</f>
        <v>0</v>
      </c>
      <c r="AN121" s="56" t="n">
        <f aca="false">MIN(AD121,MAX(0,N(Debts!$E$9)))</f>
        <v>0</v>
      </c>
      <c r="AO121" s="56" t="n">
        <f aca="false">MIN(AE121,MAX(0,N(Debts!$E$10)))</f>
        <v>0</v>
      </c>
      <c r="AP121" s="56" t="n">
        <f aca="false">MIN(AF121,MAX(0,N(Debts!$E$11)))</f>
        <v>0</v>
      </c>
      <c r="AQ121" s="56" t="n">
        <f aca="false">MIN(AG121,MAX(0,N(Debts!$E$12)))</f>
        <v>0</v>
      </c>
      <c r="AR121" s="56" t="n">
        <f aca="false">MIN(AH121,MAX(0,N(Debts!$E$13)))</f>
        <v>0</v>
      </c>
      <c r="AS121" s="56" t="n">
        <f aca="false">MIN(AI121,MAX(0,N(Debts!$E$14)))</f>
        <v>0</v>
      </c>
    </row>
    <row r="122" customFormat="false" ht="15" hidden="false" customHeight="false" outlineLevel="0" collapsed="false">
      <c r="A122" s="53" t="n">
        <v>118</v>
      </c>
      <c r="B122" s="54" t="n">
        <f aca="false">EDATE('Start Here'!$B$8,117)</f>
        <v>49888</v>
      </c>
      <c r="C122" s="42" t="n">
        <f aca="false">SUM(F122:O122)</f>
        <v>0</v>
      </c>
      <c r="D122" s="42" t="n">
        <f aca="false">ROUND(SUM($Z122:$AI122)-SUM(P121:Y121),2)</f>
        <v>0</v>
      </c>
      <c r="E122" s="55" t="n">
        <f aca="false">SUM(P122:Y122)</f>
        <v>0</v>
      </c>
      <c r="F122" s="42" t="n">
        <f aca="false">AJ122+MIN(Z122-AJ122,MAX(0,'Start Here'!$B$10-SUM($AJ122:$AS122)-SUMPRODUCT(($Z$3:$AI$3&lt;Z$3)*($Z122:$AI122-$AJ122:$AS122))))</f>
        <v>0</v>
      </c>
      <c r="G122" s="42" t="n">
        <f aca="false">AK122+MIN(AA122-AK122,MAX(0,'Start Here'!$B$10-SUM($AJ122:$AS122)-SUMPRODUCT(($Z$3:$AI$3&lt;AA$3)*($Z122:$AI122-$AJ122:$AS122))))</f>
        <v>0</v>
      </c>
      <c r="H122" s="42" t="n">
        <f aca="false">AL122+MIN(AB122-AL122,MAX(0,'Start Here'!$B$10-SUM($AJ122:$AS122)-SUMPRODUCT(($Z$3:$AI$3&lt;AB$3)*($Z122:$AI122-$AJ122:$AS122))))</f>
        <v>0</v>
      </c>
      <c r="I122" s="42" t="n">
        <f aca="false">AM122+MIN(AC122-AM122,MAX(0,'Start Here'!$B$10-SUM($AJ122:$AS122)-SUMPRODUCT(($Z$3:$AI$3&lt;AC$3)*($Z122:$AI122-$AJ122:$AS122))))</f>
        <v>0</v>
      </c>
      <c r="J122" s="42" t="n">
        <f aca="false">AN122+MIN(AD122-AN122,MAX(0,'Start Here'!$B$10-SUM($AJ122:$AS122)-SUMPRODUCT(($Z$3:$AI$3&lt;AD$3)*($Z122:$AI122-$AJ122:$AS122))))</f>
        <v>0</v>
      </c>
      <c r="K122" s="42" t="n">
        <f aca="false">AO122+MIN(AE122-AO122,MAX(0,'Start Here'!$B$10-SUM($AJ122:$AS122)-SUMPRODUCT(($Z$3:$AI$3&lt;AE$3)*($Z122:$AI122-$AJ122:$AS122))))</f>
        <v>0</v>
      </c>
      <c r="L122" s="42" t="n">
        <f aca="false">AP122+MIN(AF122-AP122,MAX(0,'Start Here'!$B$10-SUM($AJ122:$AS122)-SUMPRODUCT(($Z$3:$AI$3&lt;AF$3)*($Z122:$AI122-$AJ122:$AS122))))</f>
        <v>0</v>
      </c>
      <c r="M122" s="42" t="n">
        <f aca="false">AQ122+MIN(AG122-AQ122,MAX(0,'Start Here'!$B$10-SUM($AJ122:$AS122)-SUMPRODUCT(($Z$3:$AI$3&lt;AG$3)*($Z122:$AI122-$AJ122:$AS122))))</f>
        <v>0</v>
      </c>
      <c r="N122" s="42" t="n">
        <f aca="false">AR122+MIN(AH122-AR122,MAX(0,'Start Here'!$B$10-SUM($AJ122:$AS122)-SUMPRODUCT(($Z$3:$AI$3&lt;AH$3)*($Z122:$AI122-$AJ122:$AS122))))</f>
        <v>0</v>
      </c>
      <c r="O122" s="42" t="n">
        <f aca="false">AS122+MIN(AI122-AS122,MAX(0,'Start Here'!$B$10-SUM($AJ122:$AS122)-SUMPRODUCT(($Z$3:$AI$3&lt;AI$3)*($Z122:$AI122-$AJ122:$AS122))))</f>
        <v>0</v>
      </c>
      <c r="P122" s="42" t="n">
        <f aca="false">ROUND(Z122-F122,2)</f>
        <v>0</v>
      </c>
      <c r="Q122" s="42" t="n">
        <f aca="false">ROUND(AA122-G122,2)</f>
        <v>0</v>
      </c>
      <c r="R122" s="42" t="n">
        <f aca="false">ROUND(AB122-H122,2)</f>
        <v>0</v>
      </c>
      <c r="S122" s="42" t="n">
        <f aca="false">ROUND(AC122-I122,2)</f>
        <v>0</v>
      </c>
      <c r="T122" s="42" t="n">
        <f aca="false">ROUND(AD122-J122,2)</f>
        <v>0</v>
      </c>
      <c r="U122" s="42" t="n">
        <f aca="false">ROUND(AE122-K122,2)</f>
        <v>0</v>
      </c>
      <c r="V122" s="42" t="n">
        <f aca="false">ROUND(AF122-L122,2)</f>
        <v>0</v>
      </c>
      <c r="W122" s="42" t="n">
        <f aca="false">ROUND(AG122-M122,2)</f>
        <v>0</v>
      </c>
      <c r="X122" s="42" t="n">
        <f aca="false">ROUND(AH122-N122,2)</f>
        <v>0</v>
      </c>
      <c r="Y122" s="42" t="n">
        <f aca="false">ROUND(AI122-O122,2)</f>
        <v>0</v>
      </c>
      <c r="Z122" s="56" t="n">
        <f aca="false">ROUND(P121*(1+N(Debts!$D$5)/12),2)</f>
        <v>0</v>
      </c>
      <c r="AA122" s="56" t="n">
        <f aca="false">ROUND(Q121*(1+N(Debts!$D$6)/12),2)</f>
        <v>0</v>
      </c>
      <c r="AB122" s="56" t="n">
        <f aca="false">ROUND(R121*(1+N(Debts!$D$7)/12),2)</f>
        <v>0</v>
      </c>
      <c r="AC122" s="56" t="n">
        <f aca="false">ROUND(S121*(1+N(Debts!$D$8)/12),2)</f>
        <v>0</v>
      </c>
      <c r="AD122" s="56" t="n">
        <f aca="false">ROUND(T121*(1+N(Debts!$D$9)/12),2)</f>
        <v>0</v>
      </c>
      <c r="AE122" s="56" t="n">
        <f aca="false">ROUND(U121*(1+N(Debts!$D$10)/12),2)</f>
        <v>0</v>
      </c>
      <c r="AF122" s="56" t="n">
        <f aca="false">ROUND(V121*(1+N(Debts!$D$11)/12),2)</f>
        <v>0</v>
      </c>
      <c r="AG122" s="56" t="n">
        <f aca="false">ROUND(W121*(1+N(Debts!$D$12)/12),2)</f>
        <v>0</v>
      </c>
      <c r="AH122" s="56" t="n">
        <f aca="false">ROUND(X121*(1+N(Debts!$D$13)/12),2)</f>
        <v>0</v>
      </c>
      <c r="AI122" s="56" t="n">
        <f aca="false">ROUND(Y121*(1+N(Debts!$D$14)/12),2)</f>
        <v>0</v>
      </c>
      <c r="AJ122" s="56" t="n">
        <f aca="false">MIN(Z122,MAX(0,N(Debts!$E$5)))</f>
        <v>0</v>
      </c>
      <c r="AK122" s="56" t="n">
        <f aca="false">MIN(AA122,MAX(0,N(Debts!$E$6)))</f>
        <v>0</v>
      </c>
      <c r="AL122" s="56" t="n">
        <f aca="false">MIN(AB122,MAX(0,N(Debts!$E$7)))</f>
        <v>0</v>
      </c>
      <c r="AM122" s="56" t="n">
        <f aca="false">MIN(AC122,MAX(0,N(Debts!$E$8)))</f>
        <v>0</v>
      </c>
      <c r="AN122" s="56" t="n">
        <f aca="false">MIN(AD122,MAX(0,N(Debts!$E$9)))</f>
        <v>0</v>
      </c>
      <c r="AO122" s="56" t="n">
        <f aca="false">MIN(AE122,MAX(0,N(Debts!$E$10)))</f>
        <v>0</v>
      </c>
      <c r="AP122" s="56" t="n">
        <f aca="false">MIN(AF122,MAX(0,N(Debts!$E$11)))</f>
        <v>0</v>
      </c>
      <c r="AQ122" s="56" t="n">
        <f aca="false">MIN(AG122,MAX(0,N(Debts!$E$12)))</f>
        <v>0</v>
      </c>
      <c r="AR122" s="56" t="n">
        <f aca="false">MIN(AH122,MAX(0,N(Debts!$E$13)))</f>
        <v>0</v>
      </c>
      <c r="AS122" s="56" t="n">
        <f aca="false">MIN(AI122,MAX(0,N(Debts!$E$14)))</f>
        <v>0</v>
      </c>
    </row>
    <row r="123" customFormat="false" ht="15" hidden="false" customHeight="false" outlineLevel="0" collapsed="false">
      <c r="A123" s="53" t="n">
        <v>119</v>
      </c>
      <c r="B123" s="54" t="n">
        <f aca="false">EDATE('Start Here'!$B$8,118)</f>
        <v>49919</v>
      </c>
      <c r="C123" s="42" t="n">
        <f aca="false">SUM(F123:O123)</f>
        <v>0</v>
      </c>
      <c r="D123" s="42" t="n">
        <f aca="false">ROUND(SUM($Z123:$AI123)-SUM(P122:Y122),2)</f>
        <v>0</v>
      </c>
      <c r="E123" s="55" t="n">
        <f aca="false">SUM(P123:Y123)</f>
        <v>0</v>
      </c>
      <c r="F123" s="42" t="n">
        <f aca="false">AJ123+MIN(Z123-AJ123,MAX(0,'Start Here'!$B$10-SUM($AJ123:$AS123)-SUMPRODUCT(($Z$3:$AI$3&lt;Z$3)*($Z123:$AI123-$AJ123:$AS123))))</f>
        <v>0</v>
      </c>
      <c r="G123" s="42" t="n">
        <f aca="false">AK123+MIN(AA123-AK123,MAX(0,'Start Here'!$B$10-SUM($AJ123:$AS123)-SUMPRODUCT(($Z$3:$AI$3&lt;AA$3)*($Z123:$AI123-$AJ123:$AS123))))</f>
        <v>0</v>
      </c>
      <c r="H123" s="42" t="n">
        <f aca="false">AL123+MIN(AB123-AL123,MAX(0,'Start Here'!$B$10-SUM($AJ123:$AS123)-SUMPRODUCT(($Z$3:$AI$3&lt;AB$3)*($Z123:$AI123-$AJ123:$AS123))))</f>
        <v>0</v>
      </c>
      <c r="I123" s="42" t="n">
        <f aca="false">AM123+MIN(AC123-AM123,MAX(0,'Start Here'!$B$10-SUM($AJ123:$AS123)-SUMPRODUCT(($Z$3:$AI$3&lt;AC$3)*($Z123:$AI123-$AJ123:$AS123))))</f>
        <v>0</v>
      </c>
      <c r="J123" s="42" t="n">
        <f aca="false">AN123+MIN(AD123-AN123,MAX(0,'Start Here'!$B$10-SUM($AJ123:$AS123)-SUMPRODUCT(($Z$3:$AI$3&lt;AD$3)*($Z123:$AI123-$AJ123:$AS123))))</f>
        <v>0</v>
      </c>
      <c r="K123" s="42" t="n">
        <f aca="false">AO123+MIN(AE123-AO123,MAX(0,'Start Here'!$B$10-SUM($AJ123:$AS123)-SUMPRODUCT(($Z$3:$AI$3&lt;AE$3)*($Z123:$AI123-$AJ123:$AS123))))</f>
        <v>0</v>
      </c>
      <c r="L123" s="42" t="n">
        <f aca="false">AP123+MIN(AF123-AP123,MAX(0,'Start Here'!$B$10-SUM($AJ123:$AS123)-SUMPRODUCT(($Z$3:$AI$3&lt;AF$3)*($Z123:$AI123-$AJ123:$AS123))))</f>
        <v>0</v>
      </c>
      <c r="M123" s="42" t="n">
        <f aca="false">AQ123+MIN(AG123-AQ123,MAX(0,'Start Here'!$B$10-SUM($AJ123:$AS123)-SUMPRODUCT(($Z$3:$AI$3&lt;AG$3)*($Z123:$AI123-$AJ123:$AS123))))</f>
        <v>0</v>
      </c>
      <c r="N123" s="42" t="n">
        <f aca="false">AR123+MIN(AH123-AR123,MAX(0,'Start Here'!$B$10-SUM($AJ123:$AS123)-SUMPRODUCT(($Z$3:$AI$3&lt;AH$3)*($Z123:$AI123-$AJ123:$AS123))))</f>
        <v>0</v>
      </c>
      <c r="O123" s="42" t="n">
        <f aca="false">AS123+MIN(AI123-AS123,MAX(0,'Start Here'!$B$10-SUM($AJ123:$AS123)-SUMPRODUCT(($Z$3:$AI$3&lt;AI$3)*($Z123:$AI123-$AJ123:$AS123))))</f>
        <v>0</v>
      </c>
      <c r="P123" s="42" t="n">
        <f aca="false">ROUND(Z123-F123,2)</f>
        <v>0</v>
      </c>
      <c r="Q123" s="42" t="n">
        <f aca="false">ROUND(AA123-G123,2)</f>
        <v>0</v>
      </c>
      <c r="R123" s="42" t="n">
        <f aca="false">ROUND(AB123-H123,2)</f>
        <v>0</v>
      </c>
      <c r="S123" s="42" t="n">
        <f aca="false">ROUND(AC123-I123,2)</f>
        <v>0</v>
      </c>
      <c r="T123" s="42" t="n">
        <f aca="false">ROUND(AD123-J123,2)</f>
        <v>0</v>
      </c>
      <c r="U123" s="42" t="n">
        <f aca="false">ROUND(AE123-K123,2)</f>
        <v>0</v>
      </c>
      <c r="V123" s="42" t="n">
        <f aca="false">ROUND(AF123-L123,2)</f>
        <v>0</v>
      </c>
      <c r="W123" s="42" t="n">
        <f aca="false">ROUND(AG123-M123,2)</f>
        <v>0</v>
      </c>
      <c r="X123" s="42" t="n">
        <f aca="false">ROUND(AH123-N123,2)</f>
        <v>0</v>
      </c>
      <c r="Y123" s="42" t="n">
        <f aca="false">ROUND(AI123-O123,2)</f>
        <v>0</v>
      </c>
      <c r="Z123" s="56" t="n">
        <f aca="false">ROUND(P122*(1+N(Debts!$D$5)/12),2)</f>
        <v>0</v>
      </c>
      <c r="AA123" s="56" t="n">
        <f aca="false">ROUND(Q122*(1+N(Debts!$D$6)/12),2)</f>
        <v>0</v>
      </c>
      <c r="AB123" s="56" t="n">
        <f aca="false">ROUND(R122*(1+N(Debts!$D$7)/12),2)</f>
        <v>0</v>
      </c>
      <c r="AC123" s="56" t="n">
        <f aca="false">ROUND(S122*(1+N(Debts!$D$8)/12),2)</f>
        <v>0</v>
      </c>
      <c r="AD123" s="56" t="n">
        <f aca="false">ROUND(T122*(1+N(Debts!$D$9)/12),2)</f>
        <v>0</v>
      </c>
      <c r="AE123" s="56" t="n">
        <f aca="false">ROUND(U122*(1+N(Debts!$D$10)/12),2)</f>
        <v>0</v>
      </c>
      <c r="AF123" s="56" t="n">
        <f aca="false">ROUND(V122*(1+N(Debts!$D$11)/12),2)</f>
        <v>0</v>
      </c>
      <c r="AG123" s="56" t="n">
        <f aca="false">ROUND(W122*(1+N(Debts!$D$12)/12),2)</f>
        <v>0</v>
      </c>
      <c r="AH123" s="56" t="n">
        <f aca="false">ROUND(X122*(1+N(Debts!$D$13)/12),2)</f>
        <v>0</v>
      </c>
      <c r="AI123" s="56" t="n">
        <f aca="false">ROUND(Y122*(1+N(Debts!$D$14)/12),2)</f>
        <v>0</v>
      </c>
      <c r="AJ123" s="56" t="n">
        <f aca="false">MIN(Z123,MAX(0,N(Debts!$E$5)))</f>
        <v>0</v>
      </c>
      <c r="AK123" s="56" t="n">
        <f aca="false">MIN(AA123,MAX(0,N(Debts!$E$6)))</f>
        <v>0</v>
      </c>
      <c r="AL123" s="56" t="n">
        <f aca="false">MIN(AB123,MAX(0,N(Debts!$E$7)))</f>
        <v>0</v>
      </c>
      <c r="AM123" s="56" t="n">
        <f aca="false">MIN(AC123,MAX(0,N(Debts!$E$8)))</f>
        <v>0</v>
      </c>
      <c r="AN123" s="56" t="n">
        <f aca="false">MIN(AD123,MAX(0,N(Debts!$E$9)))</f>
        <v>0</v>
      </c>
      <c r="AO123" s="56" t="n">
        <f aca="false">MIN(AE123,MAX(0,N(Debts!$E$10)))</f>
        <v>0</v>
      </c>
      <c r="AP123" s="56" t="n">
        <f aca="false">MIN(AF123,MAX(0,N(Debts!$E$11)))</f>
        <v>0</v>
      </c>
      <c r="AQ123" s="56" t="n">
        <f aca="false">MIN(AG123,MAX(0,N(Debts!$E$12)))</f>
        <v>0</v>
      </c>
      <c r="AR123" s="56" t="n">
        <f aca="false">MIN(AH123,MAX(0,N(Debts!$E$13)))</f>
        <v>0</v>
      </c>
      <c r="AS123" s="56" t="n">
        <f aca="false">MIN(AI123,MAX(0,N(Debts!$E$14)))</f>
        <v>0</v>
      </c>
    </row>
    <row r="124" customFormat="false" ht="15" hidden="false" customHeight="false" outlineLevel="0" collapsed="false">
      <c r="A124" s="53" t="n">
        <v>120</v>
      </c>
      <c r="B124" s="54" t="n">
        <f aca="false">EDATE('Start Here'!$B$8,119)</f>
        <v>49949</v>
      </c>
      <c r="C124" s="42" t="n">
        <f aca="false">SUM(F124:O124)</f>
        <v>0</v>
      </c>
      <c r="D124" s="42" t="n">
        <f aca="false">ROUND(SUM($Z124:$AI124)-SUM(P123:Y123),2)</f>
        <v>0</v>
      </c>
      <c r="E124" s="55" t="n">
        <f aca="false">SUM(P124:Y124)</f>
        <v>0</v>
      </c>
      <c r="F124" s="42" t="n">
        <f aca="false">AJ124+MIN(Z124-AJ124,MAX(0,'Start Here'!$B$10-SUM($AJ124:$AS124)-SUMPRODUCT(($Z$3:$AI$3&lt;Z$3)*($Z124:$AI124-$AJ124:$AS124))))</f>
        <v>0</v>
      </c>
      <c r="G124" s="42" t="n">
        <f aca="false">AK124+MIN(AA124-AK124,MAX(0,'Start Here'!$B$10-SUM($AJ124:$AS124)-SUMPRODUCT(($Z$3:$AI$3&lt;AA$3)*($Z124:$AI124-$AJ124:$AS124))))</f>
        <v>0</v>
      </c>
      <c r="H124" s="42" t="n">
        <f aca="false">AL124+MIN(AB124-AL124,MAX(0,'Start Here'!$B$10-SUM($AJ124:$AS124)-SUMPRODUCT(($Z$3:$AI$3&lt;AB$3)*($Z124:$AI124-$AJ124:$AS124))))</f>
        <v>0</v>
      </c>
      <c r="I124" s="42" t="n">
        <f aca="false">AM124+MIN(AC124-AM124,MAX(0,'Start Here'!$B$10-SUM($AJ124:$AS124)-SUMPRODUCT(($Z$3:$AI$3&lt;AC$3)*($Z124:$AI124-$AJ124:$AS124))))</f>
        <v>0</v>
      </c>
      <c r="J124" s="42" t="n">
        <f aca="false">AN124+MIN(AD124-AN124,MAX(0,'Start Here'!$B$10-SUM($AJ124:$AS124)-SUMPRODUCT(($Z$3:$AI$3&lt;AD$3)*($Z124:$AI124-$AJ124:$AS124))))</f>
        <v>0</v>
      </c>
      <c r="K124" s="42" t="n">
        <f aca="false">AO124+MIN(AE124-AO124,MAX(0,'Start Here'!$B$10-SUM($AJ124:$AS124)-SUMPRODUCT(($Z$3:$AI$3&lt;AE$3)*($Z124:$AI124-$AJ124:$AS124))))</f>
        <v>0</v>
      </c>
      <c r="L124" s="42" t="n">
        <f aca="false">AP124+MIN(AF124-AP124,MAX(0,'Start Here'!$B$10-SUM($AJ124:$AS124)-SUMPRODUCT(($Z$3:$AI$3&lt;AF$3)*($Z124:$AI124-$AJ124:$AS124))))</f>
        <v>0</v>
      </c>
      <c r="M124" s="42" t="n">
        <f aca="false">AQ124+MIN(AG124-AQ124,MAX(0,'Start Here'!$B$10-SUM($AJ124:$AS124)-SUMPRODUCT(($Z$3:$AI$3&lt;AG$3)*($Z124:$AI124-$AJ124:$AS124))))</f>
        <v>0</v>
      </c>
      <c r="N124" s="42" t="n">
        <f aca="false">AR124+MIN(AH124-AR124,MAX(0,'Start Here'!$B$10-SUM($AJ124:$AS124)-SUMPRODUCT(($Z$3:$AI$3&lt;AH$3)*($Z124:$AI124-$AJ124:$AS124))))</f>
        <v>0</v>
      </c>
      <c r="O124" s="42" t="n">
        <f aca="false">AS124+MIN(AI124-AS124,MAX(0,'Start Here'!$B$10-SUM($AJ124:$AS124)-SUMPRODUCT(($Z$3:$AI$3&lt;AI$3)*($Z124:$AI124-$AJ124:$AS124))))</f>
        <v>0</v>
      </c>
      <c r="P124" s="42" t="n">
        <f aca="false">ROUND(Z124-F124,2)</f>
        <v>0</v>
      </c>
      <c r="Q124" s="42" t="n">
        <f aca="false">ROUND(AA124-G124,2)</f>
        <v>0</v>
      </c>
      <c r="R124" s="42" t="n">
        <f aca="false">ROUND(AB124-H124,2)</f>
        <v>0</v>
      </c>
      <c r="S124" s="42" t="n">
        <f aca="false">ROUND(AC124-I124,2)</f>
        <v>0</v>
      </c>
      <c r="T124" s="42" t="n">
        <f aca="false">ROUND(AD124-J124,2)</f>
        <v>0</v>
      </c>
      <c r="U124" s="42" t="n">
        <f aca="false">ROUND(AE124-K124,2)</f>
        <v>0</v>
      </c>
      <c r="V124" s="42" t="n">
        <f aca="false">ROUND(AF124-L124,2)</f>
        <v>0</v>
      </c>
      <c r="W124" s="42" t="n">
        <f aca="false">ROUND(AG124-M124,2)</f>
        <v>0</v>
      </c>
      <c r="X124" s="42" t="n">
        <f aca="false">ROUND(AH124-N124,2)</f>
        <v>0</v>
      </c>
      <c r="Y124" s="42" t="n">
        <f aca="false">ROUND(AI124-O124,2)</f>
        <v>0</v>
      </c>
      <c r="Z124" s="56" t="n">
        <f aca="false">ROUND(P123*(1+N(Debts!$D$5)/12),2)</f>
        <v>0</v>
      </c>
      <c r="AA124" s="56" t="n">
        <f aca="false">ROUND(Q123*(1+N(Debts!$D$6)/12),2)</f>
        <v>0</v>
      </c>
      <c r="AB124" s="56" t="n">
        <f aca="false">ROUND(R123*(1+N(Debts!$D$7)/12),2)</f>
        <v>0</v>
      </c>
      <c r="AC124" s="56" t="n">
        <f aca="false">ROUND(S123*(1+N(Debts!$D$8)/12),2)</f>
        <v>0</v>
      </c>
      <c r="AD124" s="56" t="n">
        <f aca="false">ROUND(T123*(1+N(Debts!$D$9)/12),2)</f>
        <v>0</v>
      </c>
      <c r="AE124" s="56" t="n">
        <f aca="false">ROUND(U123*(1+N(Debts!$D$10)/12),2)</f>
        <v>0</v>
      </c>
      <c r="AF124" s="56" t="n">
        <f aca="false">ROUND(V123*(1+N(Debts!$D$11)/12),2)</f>
        <v>0</v>
      </c>
      <c r="AG124" s="56" t="n">
        <f aca="false">ROUND(W123*(1+N(Debts!$D$12)/12),2)</f>
        <v>0</v>
      </c>
      <c r="AH124" s="56" t="n">
        <f aca="false">ROUND(X123*(1+N(Debts!$D$13)/12),2)</f>
        <v>0</v>
      </c>
      <c r="AI124" s="56" t="n">
        <f aca="false">ROUND(Y123*(1+N(Debts!$D$14)/12),2)</f>
        <v>0</v>
      </c>
      <c r="AJ124" s="56" t="n">
        <f aca="false">MIN(Z124,MAX(0,N(Debts!$E$5)))</f>
        <v>0</v>
      </c>
      <c r="AK124" s="56" t="n">
        <f aca="false">MIN(AA124,MAX(0,N(Debts!$E$6)))</f>
        <v>0</v>
      </c>
      <c r="AL124" s="56" t="n">
        <f aca="false">MIN(AB124,MAX(0,N(Debts!$E$7)))</f>
        <v>0</v>
      </c>
      <c r="AM124" s="56" t="n">
        <f aca="false">MIN(AC124,MAX(0,N(Debts!$E$8)))</f>
        <v>0</v>
      </c>
      <c r="AN124" s="56" t="n">
        <f aca="false">MIN(AD124,MAX(0,N(Debts!$E$9)))</f>
        <v>0</v>
      </c>
      <c r="AO124" s="56" t="n">
        <f aca="false">MIN(AE124,MAX(0,N(Debts!$E$10)))</f>
        <v>0</v>
      </c>
      <c r="AP124" s="56" t="n">
        <f aca="false">MIN(AF124,MAX(0,N(Debts!$E$11)))</f>
        <v>0</v>
      </c>
      <c r="AQ124" s="56" t="n">
        <f aca="false">MIN(AG124,MAX(0,N(Debts!$E$12)))</f>
        <v>0</v>
      </c>
      <c r="AR124" s="56" t="n">
        <f aca="false">MIN(AH124,MAX(0,N(Debts!$E$13)))</f>
        <v>0</v>
      </c>
      <c r="AS124" s="56" t="n">
        <f aca="false">MIN(AI124,MAX(0,N(Debts!$E$14)))</f>
        <v>0</v>
      </c>
    </row>
    <row r="125" customFormat="false" ht="15" hidden="false" customHeight="false" outlineLevel="0" collapsed="false">
      <c r="A125" s="53" t="n">
        <v>121</v>
      </c>
      <c r="B125" s="54" t="n">
        <f aca="false">EDATE('Start Here'!$B$8,120)</f>
        <v>49980</v>
      </c>
      <c r="C125" s="42" t="n">
        <f aca="false">SUM(F125:O125)</f>
        <v>0</v>
      </c>
      <c r="D125" s="42" t="n">
        <f aca="false">ROUND(SUM($Z125:$AI125)-SUM(P124:Y124),2)</f>
        <v>0</v>
      </c>
      <c r="E125" s="55" t="n">
        <f aca="false">SUM(P125:Y125)</f>
        <v>0</v>
      </c>
      <c r="F125" s="42" t="n">
        <f aca="false">AJ125+MIN(Z125-AJ125,MAX(0,'Start Here'!$B$10-SUM($AJ125:$AS125)-SUMPRODUCT(($Z$3:$AI$3&lt;Z$3)*($Z125:$AI125-$AJ125:$AS125))))</f>
        <v>0</v>
      </c>
      <c r="G125" s="42" t="n">
        <f aca="false">AK125+MIN(AA125-AK125,MAX(0,'Start Here'!$B$10-SUM($AJ125:$AS125)-SUMPRODUCT(($Z$3:$AI$3&lt;AA$3)*($Z125:$AI125-$AJ125:$AS125))))</f>
        <v>0</v>
      </c>
      <c r="H125" s="42" t="n">
        <f aca="false">AL125+MIN(AB125-AL125,MAX(0,'Start Here'!$B$10-SUM($AJ125:$AS125)-SUMPRODUCT(($Z$3:$AI$3&lt;AB$3)*($Z125:$AI125-$AJ125:$AS125))))</f>
        <v>0</v>
      </c>
      <c r="I125" s="42" t="n">
        <f aca="false">AM125+MIN(AC125-AM125,MAX(0,'Start Here'!$B$10-SUM($AJ125:$AS125)-SUMPRODUCT(($Z$3:$AI$3&lt;AC$3)*($Z125:$AI125-$AJ125:$AS125))))</f>
        <v>0</v>
      </c>
      <c r="J125" s="42" t="n">
        <f aca="false">AN125+MIN(AD125-AN125,MAX(0,'Start Here'!$B$10-SUM($AJ125:$AS125)-SUMPRODUCT(($Z$3:$AI$3&lt;AD$3)*($Z125:$AI125-$AJ125:$AS125))))</f>
        <v>0</v>
      </c>
      <c r="K125" s="42" t="n">
        <f aca="false">AO125+MIN(AE125-AO125,MAX(0,'Start Here'!$B$10-SUM($AJ125:$AS125)-SUMPRODUCT(($Z$3:$AI$3&lt;AE$3)*($Z125:$AI125-$AJ125:$AS125))))</f>
        <v>0</v>
      </c>
      <c r="L125" s="42" t="n">
        <f aca="false">AP125+MIN(AF125-AP125,MAX(0,'Start Here'!$B$10-SUM($AJ125:$AS125)-SUMPRODUCT(($Z$3:$AI$3&lt;AF$3)*($Z125:$AI125-$AJ125:$AS125))))</f>
        <v>0</v>
      </c>
      <c r="M125" s="42" t="n">
        <f aca="false">AQ125+MIN(AG125-AQ125,MAX(0,'Start Here'!$B$10-SUM($AJ125:$AS125)-SUMPRODUCT(($Z$3:$AI$3&lt;AG$3)*($Z125:$AI125-$AJ125:$AS125))))</f>
        <v>0</v>
      </c>
      <c r="N125" s="42" t="n">
        <f aca="false">AR125+MIN(AH125-AR125,MAX(0,'Start Here'!$B$10-SUM($AJ125:$AS125)-SUMPRODUCT(($Z$3:$AI$3&lt;AH$3)*($Z125:$AI125-$AJ125:$AS125))))</f>
        <v>0</v>
      </c>
      <c r="O125" s="42" t="n">
        <f aca="false">AS125+MIN(AI125-AS125,MAX(0,'Start Here'!$B$10-SUM($AJ125:$AS125)-SUMPRODUCT(($Z$3:$AI$3&lt;AI$3)*($Z125:$AI125-$AJ125:$AS125))))</f>
        <v>0</v>
      </c>
      <c r="P125" s="42" t="n">
        <f aca="false">ROUND(Z125-F125,2)</f>
        <v>0</v>
      </c>
      <c r="Q125" s="42" t="n">
        <f aca="false">ROUND(AA125-G125,2)</f>
        <v>0</v>
      </c>
      <c r="R125" s="42" t="n">
        <f aca="false">ROUND(AB125-H125,2)</f>
        <v>0</v>
      </c>
      <c r="S125" s="42" t="n">
        <f aca="false">ROUND(AC125-I125,2)</f>
        <v>0</v>
      </c>
      <c r="T125" s="42" t="n">
        <f aca="false">ROUND(AD125-J125,2)</f>
        <v>0</v>
      </c>
      <c r="U125" s="42" t="n">
        <f aca="false">ROUND(AE125-K125,2)</f>
        <v>0</v>
      </c>
      <c r="V125" s="42" t="n">
        <f aca="false">ROUND(AF125-L125,2)</f>
        <v>0</v>
      </c>
      <c r="W125" s="42" t="n">
        <f aca="false">ROUND(AG125-M125,2)</f>
        <v>0</v>
      </c>
      <c r="X125" s="42" t="n">
        <f aca="false">ROUND(AH125-N125,2)</f>
        <v>0</v>
      </c>
      <c r="Y125" s="42" t="n">
        <f aca="false">ROUND(AI125-O125,2)</f>
        <v>0</v>
      </c>
      <c r="Z125" s="56" t="n">
        <f aca="false">ROUND(P124*(1+N(Debts!$D$5)/12),2)</f>
        <v>0</v>
      </c>
      <c r="AA125" s="56" t="n">
        <f aca="false">ROUND(Q124*(1+N(Debts!$D$6)/12),2)</f>
        <v>0</v>
      </c>
      <c r="AB125" s="56" t="n">
        <f aca="false">ROUND(R124*(1+N(Debts!$D$7)/12),2)</f>
        <v>0</v>
      </c>
      <c r="AC125" s="56" t="n">
        <f aca="false">ROUND(S124*(1+N(Debts!$D$8)/12),2)</f>
        <v>0</v>
      </c>
      <c r="AD125" s="56" t="n">
        <f aca="false">ROUND(T124*(1+N(Debts!$D$9)/12),2)</f>
        <v>0</v>
      </c>
      <c r="AE125" s="56" t="n">
        <f aca="false">ROUND(U124*(1+N(Debts!$D$10)/12),2)</f>
        <v>0</v>
      </c>
      <c r="AF125" s="56" t="n">
        <f aca="false">ROUND(V124*(1+N(Debts!$D$11)/12),2)</f>
        <v>0</v>
      </c>
      <c r="AG125" s="56" t="n">
        <f aca="false">ROUND(W124*(1+N(Debts!$D$12)/12),2)</f>
        <v>0</v>
      </c>
      <c r="AH125" s="56" t="n">
        <f aca="false">ROUND(X124*(1+N(Debts!$D$13)/12),2)</f>
        <v>0</v>
      </c>
      <c r="AI125" s="56" t="n">
        <f aca="false">ROUND(Y124*(1+N(Debts!$D$14)/12),2)</f>
        <v>0</v>
      </c>
      <c r="AJ125" s="56" t="n">
        <f aca="false">MIN(Z125,MAX(0,N(Debts!$E$5)))</f>
        <v>0</v>
      </c>
      <c r="AK125" s="56" t="n">
        <f aca="false">MIN(AA125,MAX(0,N(Debts!$E$6)))</f>
        <v>0</v>
      </c>
      <c r="AL125" s="56" t="n">
        <f aca="false">MIN(AB125,MAX(0,N(Debts!$E$7)))</f>
        <v>0</v>
      </c>
      <c r="AM125" s="56" t="n">
        <f aca="false">MIN(AC125,MAX(0,N(Debts!$E$8)))</f>
        <v>0</v>
      </c>
      <c r="AN125" s="56" t="n">
        <f aca="false">MIN(AD125,MAX(0,N(Debts!$E$9)))</f>
        <v>0</v>
      </c>
      <c r="AO125" s="56" t="n">
        <f aca="false">MIN(AE125,MAX(0,N(Debts!$E$10)))</f>
        <v>0</v>
      </c>
      <c r="AP125" s="56" t="n">
        <f aca="false">MIN(AF125,MAX(0,N(Debts!$E$11)))</f>
        <v>0</v>
      </c>
      <c r="AQ125" s="56" t="n">
        <f aca="false">MIN(AG125,MAX(0,N(Debts!$E$12)))</f>
        <v>0</v>
      </c>
      <c r="AR125" s="56" t="n">
        <f aca="false">MIN(AH125,MAX(0,N(Debts!$E$13)))</f>
        <v>0</v>
      </c>
      <c r="AS125" s="56" t="n">
        <f aca="false">MIN(AI125,MAX(0,N(Debts!$E$14)))</f>
        <v>0</v>
      </c>
    </row>
    <row r="126" customFormat="false" ht="15" hidden="false" customHeight="false" outlineLevel="0" collapsed="false">
      <c r="A126" s="53" t="n">
        <v>122</v>
      </c>
      <c r="B126" s="54" t="n">
        <f aca="false">EDATE('Start Here'!$B$8,121)</f>
        <v>50010</v>
      </c>
      <c r="C126" s="42" t="n">
        <f aca="false">SUM(F126:O126)</f>
        <v>0</v>
      </c>
      <c r="D126" s="42" t="n">
        <f aca="false">ROUND(SUM($Z126:$AI126)-SUM(P125:Y125),2)</f>
        <v>0</v>
      </c>
      <c r="E126" s="55" t="n">
        <f aca="false">SUM(P126:Y126)</f>
        <v>0</v>
      </c>
      <c r="F126" s="42" t="n">
        <f aca="false">AJ126+MIN(Z126-AJ126,MAX(0,'Start Here'!$B$10-SUM($AJ126:$AS126)-SUMPRODUCT(($Z$3:$AI$3&lt;Z$3)*($Z126:$AI126-$AJ126:$AS126))))</f>
        <v>0</v>
      </c>
      <c r="G126" s="42" t="n">
        <f aca="false">AK126+MIN(AA126-AK126,MAX(0,'Start Here'!$B$10-SUM($AJ126:$AS126)-SUMPRODUCT(($Z$3:$AI$3&lt;AA$3)*($Z126:$AI126-$AJ126:$AS126))))</f>
        <v>0</v>
      </c>
      <c r="H126" s="42" t="n">
        <f aca="false">AL126+MIN(AB126-AL126,MAX(0,'Start Here'!$B$10-SUM($AJ126:$AS126)-SUMPRODUCT(($Z$3:$AI$3&lt;AB$3)*($Z126:$AI126-$AJ126:$AS126))))</f>
        <v>0</v>
      </c>
      <c r="I126" s="42" t="n">
        <f aca="false">AM126+MIN(AC126-AM126,MAX(0,'Start Here'!$B$10-SUM($AJ126:$AS126)-SUMPRODUCT(($Z$3:$AI$3&lt;AC$3)*($Z126:$AI126-$AJ126:$AS126))))</f>
        <v>0</v>
      </c>
      <c r="J126" s="42" t="n">
        <f aca="false">AN126+MIN(AD126-AN126,MAX(0,'Start Here'!$B$10-SUM($AJ126:$AS126)-SUMPRODUCT(($Z$3:$AI$3&lt;AD$3)*($Z126:$AI126-$AJ126:$AS126))))</f>
        <v>0</v>
      </c>
      <c r="K126" s="42" t="n">
        <f aca="false">AO126+MIN(AE126-AO126,MAX(0,'Start Here'!$B$10-SUM($AJ126:$AS126)-SUMPRODUCT(($Z$3:$AI$3&lt;AE$3)*($Z126:$AI126-$AJ126:$AS126))))</f>
        <v>0</v>
      </c>
      <c r="L126" s="42" t="n">
        <f aca="false">AP126+MIN(AF126-AP126,MAX(0,'Start Here'!$B$10-SUM($AJ126:$AS126)-SUMPRODUCT(($Z$3:$AI$3&lt;AF$3)*($Z126:$AI126-$AJ126:$AS126))))</f>
        <v>0</v>
      </c>
      <c r="M126" s="42" t="n">
        <f aca="false">AQ126+MIN(AG126-AQ126,MAX(0,'Start Here'!$B$10-SUM($AJ126:$AS126)-SUMPRODUCT(($Z$3:$AI$3&lt;AG$3)*($Z126:$AI126-$AJ126:$AS126))))</f>
        <v>0</v>
      </c>
      <c r="N126" s="42" t="n">
        <f aca="false">AR126+MIN(AH126-AR126,MAX(0,'Start Here'!$B$10-SUM($AJ126:$AS126)-SUMPRODUCT(($Z$3:$AI$3&lt;AH$3)*($Z126:$AI126-$AJ126:$AS126))))</f>
        <v>0</v>
      </c>
      <c r="O126" s="42" t="n">
        <f aca="false">AS126+MIN(AI126-AS126,MAX(0,'Start Here'!$B$10-SUM($AJ126:$AS126)-SUMPRODUCT(($Z$3:$AI$3&lt;AI$3)*($Z126:$AI126-$AJ126:$AS126))))</f>
        <v>0</v>
      </c>
      <c r="P126" s="42" t="n">
        <f aca="false">ROUND(Z126-F126,2)</f>
        <v>0</v>
      </c>
      <c r="Q126" s="42" t="n">
        <f aca="false">ROUND(AA126-G126,2)</f>
        <v>0</v>
      </c>
      <c r="R126" s="42" t="n">
        <f aca="false">ROUND(AB126-H126,2)</f>
        <v>0</v>
      </c>
      <c r="S126" s="42" t="n">
        <f aca="false">ROUND(AC126-I126,2)</f>
        <v>0</v>
      </c>
      <c r="T126" s="42" t="n">
        <f aca="false">ROUND(AD126-J126,2)</f>
        <v>0</v>
      </c>
      <c r="U126" s="42" t="n">
        <f aca="false">ROUND(AE126-K126,2)</f>
        <v>0</v>
      </c>
      <c r="V126" s="42" t="n">
        <f aca="false">ROUND(AF126-L126,2)</f>
        <v>0</v>
      </c>
      <c r="W126" s="42" t="n">
        <f aca="false">ROUND(AG126-M126,2)</f>
        <v>0</v>
      </c>
      <c r="X126" s="42" t="n">
        <f aca="false">ROUND(AH126-N126,2)</f>
        <v>0</v>
      </c>
      <c r="Y126" s="42" t="n">
        <f aca="false">ROUND(AI126-O126,2)</f>
        <v>0</v>
      </c>
      <c r="Z126" s="56" t="n">
        <f aca="false">ROUND(P125*(1+N(Debts!$D$5)/12),2)</f>
        <v>0</v>
      </c>
      <c r="AA126" s="56" t="n">
        <f aca="false">ROUND(Q125*(1+N(Debts!$D$6)/12),2)</f>
        <v>0</v>
      </c>
      <c r="AB126" s="56" t="n">
        <f aca="false">ROUND(R125*(1+N(Debts!$D$7)/12),2)</f>
        <v>0</v>
      </c>
      <c r="AC126" s="56" t="n">
        <f aca="false">ROUND(S125*(1+N(Debts!$D$8)/12),2)</f>
        <v>0</v>
      </c>
      <c r="AD126" s="56" t="n">
        <f aca="false">ROUND(T125*(1+N(Debts!$D$9)/12),2)</f>
        <v>0</v>
      </c>
      <c r="AE126" s="56" t="n">
        <f aca="false">ROUND(U125*(1+N(Debts!$D$10)/12),2)</f>
        <v>0</v>
      </c>
      <c r="AF126" s="56" t="n">
        <f aca="false">ROUND(V125*(1+N(Debts!$D$11)/12),2)</f>
        <v>0</v>
      </c>
      <c r="AG126" s="56" t="n">
        <f aca="false">ROUND(W125*(1+N(Debts!$D$12)/12),2)</f>
        <v>0</v>
      </c>
      <c r="AH126" s="56" t="n">
        <f aca="false">ROUND(X125*(1+N(Debts!$D$13)/12),2)</f>
        <v>0</v>
      </c>
      <c r="AI126" s="56" t="n">
        <f aca="false">ROUND(Y125*(1+N(Debts!$D$14)/12),2)</f>
        <v>0</v>
      </c>
      <c r="AJ126" s="56" t="n">
        <f aca="false">MIN(Z126,MAX(0,N(Debts!$E$5)))</f>
        <v>0</v>
      </c>
      <c r="AK126" s="56" t="n">
        <f aca="false">MIN(AA126,MAX(0,N(Debts!$E$6)))</f>
        <v>0</v>
      </c>
      <c r="AL126" s="56" t="n">
        <f aca="false">MIN(AB126,MAX(0,N(Debts!$E$7)))</f>
        <v>0</v>
      </c>
      <c r="AM126" s="56" t="n">
        <f aca="false">MIN(AC126,MAX(0,N(Debts!$E$8)))</f>
        <v>0</v>
      </c>
      <c r="AN126" s="56" t="n">
        <f aca="false">MIN(AD126,MAX(0,N(Debts!$E$9)))</f>
        <v>0</v>
      </c>
      <c r="AO126" s="56" t="n">
        <f aca="false">MIN(AE126,MAX(0,N(Debts!$E$10)))</f>
        <v>0</v>
      </c>
      <c r="AP126" s="56" t="n">
        <f aca="false">MIN(AF126,MAX(0,N(Debts!$E$11)))</f>
        <v>0</v>
      </c>
      <c r="AQ126" s="56" t="n">
        <f aca="false">MIN(AG126,MAX(0,N(Debts!$E$12)))</f>
        <v>0</v>
      </c>
      <c r="AR126" s="56" t="n">
        <f aca="false">MIN(AH126,MAX(0,N(Debts!$E$13)))</f>
        <v>0</v>
      </c>
      <c r="AS126" s="56" t="n">
        <f aca="false">MIN(AI126,MAX(0,N(Debts!$E$14)))</f>
        <v>0</v>
      </c>
    </row>
    <row r="127" customFormat="false" ht="15" hidden="false" customHeight="false" outlineLevel="0" collapsed="false">
      <c r="A127" s="53" t="n">
        <v>123</v>
      </c>
      <c r="B127" s="54" t="n">
        <f aca="false">EDATE('Start Here'!$B$8,122)</f>
        <v>50041</v>
      </c>
      <c r="C127" s="42" t="n">
        <f aca="false">SUM(F127:O127)</f>
        <v>0</v>
      </c>
      <c r="D127" s="42" t="n">
        <f aca="false">ROUND(SUM($Z127:$AI127)-SUM(P126:Y126),2)</f>
        <v>0</v>
      </c>
      <c r="E127" s="55" t="n">
        <f aca="false">SUM(P127:Y127)</f>
        <v>0</v>
      </c>
      <c r="F127" s="42" t="n">
        <f aca="false">AJ127+MIN(Z127-AJ127,MAX(0,'Start Here'!$B$10-SUM($AJ127:$AS127)-SUMPRODUCT(($Z$3:$AI$3&lt;Z$3)*($Z127:$AI127-$AJ127:$AS127))))</f>
        <v>0</v>
      </c>
      <c r="G127" s="42" t="n">
        <f aca="false">AK127+MIN(AA127-AK127,MAX(0,'Start Here'!$B$10-SUM($AJ127:$AS127)-SUMPRODUCT(($Z$3:$AI$3&lt;AA$3)*($Z127:$AI127-$AJ127:$AS127))))</f>
        <v>0</v>
      </c>
      <c r="H127" s="42" t="n">
        <f aca="false">AL127+MIN(AB127-AL127,MAX(0,'Start Here'!$B$10-SUM($AJ127:$AS127)-SUMPRODUCT(($Z$3:$AI$3&lt;AB$3)*($Z127:$AI127-$AJ127:$AS127))))</f>
        <v>0</v>
      </c>
      <c r="I127" s="42" t="n">
        <f aca="false">AM127+MIN(AC127-AM127,MAX(0,'Start Here'!$B$10-SUM($AJ127:$AS127)-SUMPRODUCT(($Z$3:$AI$3&lt;AC$3)*($Z127:$AI127-$AJ127:$AS127))))</f>
        <v>0</v>
      </c>
      <c r="J127" s="42" t="n">
        <f aca="false">AN127+MIN(AD127-AN127,MAX(0,'Start Here'!$B$10-SUM($AJ127:$AS127)-SUMPRODUCT(($Z$3:$AI$3&lt;AD$3)*($Z127:$AI127-$AJ127:$AS127))))</f>
        <v>0</v>
      </c>
      <c r="K127" s="42" t="n">
        <f aca="false">AO127+MIN(AE127-AO127,MAX(0,'Start Here'!$B$10-SUM($AJ127:$AS127)-SUMPRODUCT(($Z$3:$AI$3&lt;AE$3)*($Z127:$AI127-$AJ127:$AS127))))</f>
        <v>0</v>
      </c>
      <c r="L127" s="42" t="n">
        <f aca="false">AP127+MIN(AF127-AP127,MAX(0,'Start Here'!$B$10-SUM($AJ127:$AS127)-SUMPRODUCT(($Z$3:$AI$3&lt;AF$3)*($Z127:$AI127-$AJ127:$AS127))))</f>
        <v>0</v>
      </c>
      <c r="M127" s="42" t="n">
        <f aca="false">AQ127+MIN(AG127-AQ127,MAX(0,'Start Here'!$B$10-SUM($AJ127:$AS127)-SUMPRODUCT(($Z$3:$AI$3&lt;AG$3)*($Z127:$AI127-$AJ127:$AS127))))</f>
        <v>0</v>
      </c>
      <c r="N127" s="42" t="n">
        <f aca="false">AR127+MIN(AH127-AR127,MAX(0,'Start Here'!$B$10-SUM($AJ127:$AS127)-SUMPRODUCT(($Z$3:$AI$3&lt;AH$3)*($Z127:$AI127-$AJ127:$AS127))))</f>
        <v>0</v>
      </c>
      <c r="O127" s="42" t="n">
        <f aca="false">AS127+MIN(AI127-AS127,MAX(0,'Start Here'!$B$10-SUM($AJ127:$AS127)-SUMPRODUCT(($Z$3:$AI$3&lt;AI$3)*($Z127:$AI127-$AJ127:$AS127))))</f>
        <v>0</v>
      </c>
      <c r="P127" s="42" t="n">
        <f aca="false">ROUND(Z127-F127,2)</f>
        <v>0</v>
      </c>
      <c r="Q127" s="42" t="n">
        <f aca="false">ROUND(AA127-G127,2)</f>
        <v>0</v>
      </c>
      <c r="R127" s="42" t="n">
        <f aca="false">ROUND(AB127-H127,2)</f>
        <v>0</v>
      </c>
      <c r="S127" s="42" t="n">
        <f aca="false">ROUND(AC127-I127,2)</f>
        <v>0</v>
      </c>
      <c r="T127" s="42" t="n">
        <f aca="false">ROUND(AD127-J127,2)</f>
        <v>0</v>
      </c>
      <c r="U127" s="42" t="n">
        <f aca="false">ROUND(AE127-K127,2)</f>
        <v>0</v>
      </c>
      <c r="V127" s="42" t="n">
        <f aca="false">ROUND(AF127-L127,2)</f>
        <v>0</v>
      </c>
      <c r="W127" s="42" t="n">
        <f aca="false">ROUND(AG127-M127,2)</f>
        <v>0</v>
      </c>
      <c r="X127" s="42" t="n">
        <f aca="false">ROUND(AH127-N127,2)</f>
        <v>0</v>
      </c>
      <c r="Y127" s="42" t="n">
        <f aca="false">ROUND(AI127-O127,2)</f>
        <v>0</v>
      </c>
      <c r="Z127" s="56" t="n">
        <f aca="false">ROUND(P126*(1+N(Debts!$D$5)/12),2)</f>
        <v>0</v>
      </c>
      <c r="AA127" s="56" t="n">
        <f aca="false">ROUND(Q126*(1+N(Debts!$D$6)/12),2)</f>
        <v>0</v>
      </c>
      <c r="AB127" s="56" t="n">
        <f aca="false">ROUND(R126*(1+N(Debts!$D$7)/12),2)</f>
        <v>0</v>
      </c>
      <c r="AC127" s="56" t="n">
        <f aca="false">ROUND(S126*(1+N(Debts!$D$8)/12),2)</f>
        <v>0</v>
      </c>
      <c r="AD127" s="56" t="n">
        <f aca="false">ROUND(T126*(1+N(Debts!$D$9)/12),2)</f>
        <v>0</v>
      </c>
      <c r="AE127" s="56" t="n">
        <f aca="false">ROUND(U126*(1+N(Debts!$D$10)/12),2)</f>
        <v>0</v>
      </c>
      <c r="AF127" s="56" t="n">
        <f aca="false">ROUND(V126*(1+N(Debts!$D$11)/12),2)</f>
        <v>0</v>
      </c>
      <c r="AG127" s="56" t="n">
        <f aca="false">ROUND(W126*(1+N(Debts!$D$12)/12),2)</f>
        <v>0</v>
      </c>
      <c r="AH127" s="56" t="n">
        <f aca="false">ROUND(X126*(1+N(Debts!$D$13)/12),2)</f>
        <v>0</v>
      </c>
      <c r="AI127" s="56" t="n">
        <f aca="false">ROUND(Y126*(1+N(Debts!$D$14)/12),2)</f>
        <v>0</v>
      </c>
      <c r="AJ127" s="56" t="n">
        <f aca="false">MIN(Z127,MAX(0,N(Debts!$E$5)))</f>
        <v>0</v>
      </c>
      <c r="AK127" s="56" t="n">
        <f aca="false">MIN(AA127,MAX(0,N(Debts!$E$6)))</f>
        <v>0</v>
      </c>
      <c r="AL127" s="56" t="n">
        <f aca="false">MIN(AB127,MAX(0,N(Debts!$E$7)))</f>
        <v>0</v>
      </c>
      <c r="AM127" s="56" t="n">
        <f aca="false">MIN(AC127,MAX(0,N(Debts!$E$8)))</f>
        <v>0</v>
      </c>
      <c r="AN127" s="56" t="n">
        <f aca="false">MIN(AD127,MAX(0,N(Debts!$E$9)))</f>
        <v>0</v>
      </c>
      <c r="AO127" s="56" t="n">
        <f aca="false">MIN(AE127,MAX(0,N(Debts!$E$10)))</f>
        <v>0</v>
      </c>
      <c r="AP127" s="56" t="n">
        <f aca="false">MIN(AF127,MAX(0,N(Debts!$E$11)))</f>
        <v>0</v>
      </c>
      <c r="AQ127" s="56" t="n">
        <f aca="false">MIN(AG127,MAX(0,N(Debts!$E$12)))</f>
        <v>0</v>
      </c>
      <c r="AR127" s="56" t="n">
        <f aca="false">MIN(AH127,MAX(0,N(Debts!$E$13)))</f>
        <v>0</v>
      </c>
      <c r="AS127" s="56" t="n">
        <f aca="false">MIN(AI127,MAX(0,N(Debts!$E$14)))</f>
        <v>0</v>
      </c>
    </row>
    <row r="128" customFormat="false" ht="15" hidden="false" customHeight="false" outlineLevel="0" collapsed="false">
      <c r="A128" s="53" t="n">
        <v>124</v>
      </c>
      <c r="B128" s="54" t="n">
        <f aca="false">EDATE('Start Here'!$B$8,123)</f>
        <v>50072</v>
      </c>
      <c r="C128" s="42" t="n">
        <f aca="false">SUM(F128:O128)</f>
        <v>0</v>
      </c>
      <c r="D128" s="42" t="n">
        <f aca="false">ROUND(SUM($Z128:$AI128)-SUM(P127:Y127),2)</f>
        <v>0</v>
      </c>
      <c r="E128" s="55" t="n">
        <f aca="false">SUM(P128:Y128)</f>
        <v>0</v>
      </c>
      <c r="F128" s="42" t="n">
        <f aca="false">AJ128+MIN(Z128-AJ128,MAX(0,'Start Here'!$B$10-SUM($AJ128:$AS128)-SUMPRODUCT(($Z$3:$AI$3&lt;Z$3)*($Z128:$AI128-$AJ128:$AS128))))</f>
        <v>0</v>
      </c>
      <c r="G128" s="42" t="n">
        <f aca="false">AK128+MIN(AA128-AK128,MAX(0,'Start Here'!$B$10-SUM($AJ128:$AS128)-SUMPRODUCT(($Z$3:$AI$3&lt;AA$3)*($Z128:$AI128-$AJ128:$AS128))))</f>
        <v>0</v>
      </c>
      <c r="H128" s="42" t="n">
        <f aca="false">AL128+MIN(AB128-AL128,MAX(0,'Start Here'!$B$10-SUM($AJ128:$AS128)-SUMPRODUCT(($Z$3:$AI$3&lt;AB$3)*($Z128:$AI128-$AJ128:$AS128))))</f>
        <v>0</v>
      </c>
      <c r="I128" s="42" t="n">
        <f aca="false">AM128+MIN(AC128-AM128,MAX(0,'Start Here'!$B$10-SUM($AJ128:$AS128)-SUMPRODUCT(($Z$3:$AI$3&lt;AC$3)*($Z128:$AI128-$AJ128:$AS128))))</f>
        <v>0</v>
      </c>
      <c r="J128" s="42" t="n">
        <f aca="false">AN128+MIN(AD128-AN128,MAX(0,'Start Here'!$B$10-SUM($AJ128:$AS128)-SUMPRODUCT(($Z$3:$AI$3&lt;AD$3)*($Z128:$AI128-$AJ128:$AS128))))</f>
        <v>0</v>
      </c>
      <c r="K128" s="42" t="n">
        <f aca="false">AO128+MIN(AE128-AO128,MAX(0,'Start Here'!$B$10-SUM($AJ128:$AS128)-SUMPRODUCT(($Z$3:$AI$3&lt;AE$3)*($Z128:$AI128-$AJ128:$AS128))))</f>
        <v>0</v>
      </c>
      <c r="L128" s="42" t="n">
        <f aca="false">AP128+MIN(AF128-AP128,MAX(0,'Start Here'!$B$10-SUM($AJ128:$AS128)-SUMPRODUCT(($Z$3:$AI$3&lt;AF$3)*($Z128:$AI128-$AJ128:$AS128))))</f>
        <v>0</v>
      </c>
      <c r="M128" s="42" t="n">
        <f aca="false">AQ128+MIN(AG128-AQ128,MAX(0,'Start Here'!$B$10-SUM($AJ128:$AS128)-SUMPRODUCT(($Z$3:$AI$3&lt;AG$3)*($Z128:$AI128-$AJ128:$AS128))))</f>
        <v>0</v>
      </c>
      <c r="N128" s="42" t="n">
        <f aca="false">AR128+MIN(AH128-AR128,MAX(0,'Start Here'!$B$10-SUM($AJ128:$AS128)-SUMPRODUCT(($Z$3:$AI$3&lt;AH$3)*($Z128:$AI128-$AJ128:$AS128))))</f>
        <v>0</v>
      </c>
      <c r="O128" s="42" t="n">
        <f aca="false">AS128+MIN(AI128-AS128,MAX(0,'Start Here'!$B$10-SUM($AJ128:$AS128)-SUMPRODUCT(($Z$3:$AI$3&lt;AI$3)*($Z128:$AI128-$AJ128:$AS128))))</f>
        <v>0</v>
      </c>
      <c r="P128" s="42" t="n">
        <f aca="false">ROUND(Z128-F128,2)</f>
        <v>0</v>
      </c>
      <c r="Q128" s="42" t="n">
        <f aca="false">ROUND(AA128-G128,2)</f>
        <v>0</v>
      </c>
      <c r="R128" s="42" t="n">
        <f aca="false">ROUND(AB128-H128,2)</f>
        <v>0</v>
      </c>
      <c r="S128" s="42" t="n">
        <f aca="false">ROUND(AC128-I128,2)</f>
        <v>0</v>
      </c>
      <c r="T128" s="42" t="n">
        <f aca="false">ROUND(AD128-J128,2)</f>
        <v>0</v>
      </c>
      <c r="U128" s="42" t="n">
        <f aca="false">ROUND(AE128-K128,2)</f>
        <v>0</v>
      </c>
      <c r="V128" s="42" t="n">
        <f aca="false">ROUND(AF128-L128,2)</f>
        <v>0</v>
      </c>
      <c r="W128" s="42" t="n">
        <f aca="false">ROUND(AG128-M128,2)</f>
        <v>0</v>
      </c>
      <c r="X128" s="42" t="n">
        <f aca="false">ROUND(AH128-N128,2)</f>
        <v>0</v>
      </c>
      <c r="Y128" s="42" t="n">
        <f aca="false">ROUND(AI128-O128,2)</f>
        <v>0</v>
      </c>
      <c r="Z128" s="56" t="n">
        <f aca="false">ROUND(P127*(1+N(Debts!$D$5)/12),2)</f>
        <v>0</v>
      </c>
      <c r="AA128" s="56" t="n">
        <f aca="false">ROUND(Q127*(1+N(Debts!$D$6)/12),2)</f>
        <v>0</v>
      </c>
      <c r="AB128" s="56" t="n">
        <f aca="false">ROUND(R127*(1+N(Debts!$D$7)/12),2)</f>
        <v>0</v>
      </c>
      <c r="AC128" s="56" t="n">
        <f aca="false">ROUND(S127*(1+N(Debts!$D$8)/12),2)</f>
        <v>0</v>
      </c>
      <c r="AD128" s="56" t="n">
        <f aca="false">ROUND(T127*(1+N(Debts!$D$9)/12),2)</f>
        <v>0</v>
      </c>
      <c r="AE128" s="56" t="n">
        <f aca="false">ROUND(U127*(1+N(Debts!$D$10)/12),2)</f>
        <v>0</v>
      </c>
      <c r="AF128" s="56" t="n">
        <f aca="false">ROUND(V127*(1+N(Debts!$D$11)/12),2)</f>
        <v>0</v>
      </c>
      <c r="AG128" s="56" t="n">
        <f aca="false">ROUND(W127*(1+N(Debts!$D$12)/12),2)</f>
        <v>0</v>
      </c>
      <c r="AH128" s="56" t="n">
        <f aca="false">ROUND(X127*(1+N(Debts!$D$13)/12),2)</f>
        <v>0</v>
      </c>
      <c r="AI128" s="56" t="n">
        <f aca="false">ROUND(Y127*(1+N(Debts!$D$14)/12),2)</f>
        <v>0</v>
      </c>
      <c r="AJ128" s="56" t="n">
        <f aca="false">MIN(Z128,MAX(0,N(Debts!$E$5)))</f>
        <v>0</v>
      </c>
      <c r="AK128" s="56" t="n">
        <f aca="false">MIN(AA128,MAX(0,N(Debts!$E$6)))</f>
        <v>0</v>
      </c>
      <c r="AL128" s="56" t="n">
        <f aca="false">MIN(AB128,MAX(0,N(Debts!$E$7)))</f>
        <v>0</v>
      </c>
      <c r="AM128" s="56" t="n">
        <f aca="false">MIN(AC128,MAX(0,N(Debts!$E$8)))</f>
        <v>0</v>
      </c>
      <c r="AN128" s="56" t="n">
        <f aca="false">MIN(AD128,MAX(0,N(Debts!$E$9)))</f>
        <v>0</v>
      </c>
      <c r="AO128" s="56" t="n">
        <f aca="false">MIN(AE128,MAX(0,N(Debts!$E$10)))</f>
        <v>0</v>
      </c>
      <c r="AP128" s="56" t="n">
        <f aca="false">MIN(AF128,MAX(0,N(Debts!$E$11)))</f>
        <v>0</v>
      </c>
      <c r="AQ128" s="56" t="n">
        <f aca="false">MIN(AG128,MAX(0,N(Debts!$E$12)))</f>
        <v>0</v>
      </c>
      <c r="AR128" s="56" t="n">
        <f aca="false">MIN(AH128,MAX(0,N(Debts!$E$13)))</f>
        <v>0</v>
      </c>
      <c r="AS128" s="56" t="n">
        <f aca="false">MIN(AI128,MAX(0,N(Debts!$E$14)))</f>
        <v>0</v>
      </c>
    </row>
    <row r="129" customFormat="false" ht="15" hidden="false" customHeight="false" outlineLevel="0" collapsed="false">
      <c r="A129" s="53" t="n">
        <v>125</v>
      </c>
      <c r="B129" s="54" t="n">
        <f aca="false">EDATE('Start Here'!$B$8,124)</f>
        <v>50100</v>
      </c>
      <c r="C129" s="42" t="n">
        <f aca="false">SUM(F129:O129)</f>
        <v>0</v>
      </c>
      <c r="D129" s="42" t="n">
        <f aca="false">ROUND(SUM($Z129:$AI129)-SUM(P128:Y128),2)</f>
        <v>0</v>
      </c>
      <c r="E129" s="55" t="n">
        <f aca="false">SUM(P129:Y129)</f>
        <v>0</v>
      </c>
      <c r="F129" s="42" t="n">
        <f aca="false">AJ129+MIN(Z129-AJ129,MAX(0,'Start Here'!$B$10-SUM($AJ129:$AS129)-SUMPRODUCT(($Z$3:$AI$3&lt;Z$3)*($Z129:$AI129-$AJ129:$AS129))))</f>
        <v>0</v>
      </c>
      <c r="G129" s="42" t="n">
        <f aca="false">AK129+MIN(AA129-AK129,MAX(0,'Start Here'!$B$10-SUM($AJ129:$AS129)-SUMPRODUCT(($Z$3:$AI$3&lt;AA$3)*($Z129:$AI129-$AJ129:$AS129))))</f>
        <v>0</v>
      </c>
      <c r="H129" s="42" t="n">
        <f aca="false">AL129+MIN(AB129-AL129,MAX(0,'Start Here'!$B$10-SUM($AJ129:$AS129)-SUMPRODUCT(($Z$3:$AI$3&lt;AB$3)*($Z129:$AI129-$AJ129:$AS129))))</f>
        <v>0</v>
      </c>
      <c r="I129" s="42" t="n">
        <f aca="false">AM129+MIN(AC129-AM129,MAX(0,'Start Here'!$B$10-SUM($AJ129:$AS129)-SUMPRODUCT(($Z$3:$AI$3&lt;AC$3)*($Z129:$AI129-$AJ129:$AS129))))</f>
        <v>0</v>
      </c>
      <c r="J129" s="42" t="n">
        <f aca="false">AN129+MIN(AD129-AN129,MAX(0,'Start Here'!$B$10-SUM($AJ129:$AS129)-SUMPRODUCT(($Z$3:$AI$3&lt;AD$3)*($Z129:$AI129-$AJ129:$AS129))))</f>
        <v>0</v>
      </c>
      <c r="K129" s="42" t="n">
        <f aca="false">AO129+MIN(AE129-AO129,MAX(0,'Start Here'!$B$10-SUM($AJ129:$AS129)-SUMPRODUCT(($Z$3:$AI$3&lt;AE$3)*($Z129:$AI129-$AJ129:$AS129))))</f>
        <v>0</v>
      </c>
      <c r="L129" s="42" t="n">
        <f aca="false">AP129+MIN(AF129-AP129,MAX(0,'Start Here'!$B$10-SUM($AJ129:$AS129)-SUMPRODUCT(($Z$3:$AI$3&lt;AF$3)*($Z129:$AI129-$AJ129:$AS129))))</f>
        <v>0</v>
      </c>
      <c r="M129" s="42" t="n">
        <f aca="false">AQ129+MIN(AG129-AQ129,MAX(0,'Start Here'!$B$10-SUM($AJ129:$AS129)-SUMPRODUCT(($Z$3:$AI$3&lt;AG$3)*($Z129:$AI129-$AJ129:$AS129))))</f>
        <v>0</v>
      </c>
      <c r="N129" s="42" t="n">
        <f aca="false">AR129+MIN(AH129-AR129,MAX(0,'Start Here'!$B$10-SUM($AJ129:$AS129)-SUMPRODUCT(($Z$3:$AI$3&lt;AH$3)*($Z129:$AI129-$AJ129:$AS129))))</f>
        <v>0</v>
      </c>
      <c r="O129" s="42" t="n">
        <f aca="false">AS129+MIN(AI129-AS129,MAX(0,'Start Here'!$B$10-SUM($AJ129:$AS129)-SUMPRODUCT(($Z$3:$AI$3&lt;AI$3)*($Z129:$AI129-$AJ129:$AS129))))</f>
        <v>0</v>
      </c>
      <c r="P129" s="42" t="n">
        <f aca="false">ROUND(Z129-F129,2)</f>
        <v>0</v>
      </c>
      <c r="Q129" s="42" t="n">
        <f aca="false">ROUND(AA129-G129,2)</f>
        <v>0</v>
      </c>
      <c r="R129" s="42" t="n">
        <f aca="false">ROUND(AB129-H129,2)</f>
        <v>0</v>
      </c>
      <c r="S129" s="42" t="n">
        <f aca="false">ROUND(AC129-I129,2)</f>
        <v>0</v>
      </c>
      <c r="T129" s="42" t="n">
        <f aca="false">ROUND(AD129-J129,2)</f>
        <v>0</v>
      </c>
      <c r="U129" s="42" t="n">
        <f aca="false">ROUND(AE129-K129,2)</f>
        <v>0</v>
      </c>
      <c r="V129" s="42" t="n">
        <f aca="false">ROUND(AF129-L129,2)</f>
        <v>0</v>
      </c>
      <c r="W129" s="42" t="n">
        <f aca="false">ROUND(AG129-M129,2)</f>
        <v>0</v>
      </c>
      <c r="X129" s="42" t="n">
        <f aca="false">ROUND(AH129-N129,2)</f>
        <v>0</v>
      </c>
      <c r="Y129" s="42" t="n">
        <f aca="false">ROUND(AI129-O129,2)</f>
        <v>0</v>
      </c>
      <c r="Z129" s="56" t="n">
        <f aca="false">ROUND(P128*(1+N(Debts!$D$5)/12),2)</f>
        <v>0</v>
      </c>
      <c r="AA129" s="56" t="n">
        <f aca="false">ROUND(Q128*(1+N(Debts!$D$6)/12),2)</f>
        <v>0</v>
      </c>
      <c r="AB129" s="56" t="n">
        <f aca="false">ROUND(R128*(1+N(Debts!$D$7)/12),2)</f>
        <v>0</v>
      </c>
      <c r="AC129" s="56" t="n">
        <f aca="false">ROUND(S128*(1+N(Debts!$D$8)/12),2)</f>
        <v>0</v>
      </c>
      <c r="AD129" s="56" t="n">
        <f aca="false">ROUND(T128*(1+N(Debts!$D$9)/12),2)</f>
        <v>0</v>
      </c>
      <c r="AE129" s="56" t="n">
        <f aca="false">ROUND(U128*(1+N(Debts!$D$10)/12),2)</f>
        <v>0</v>
      </c>
      <c r="AF129" s="56" t="n">
        <f aca="false">ROUND(V128*(1+N(Debts!$D$11)/12),2)</f>
        <v>0</v>
      </c>
      <c r="AG129" s="56" t="n">
        <f aca="false">ROUND(W128*(1+N(Debts!$D$12)/12),2)</f>
        <v>0</v>
      </c>
      <c r="AH129" s="56" t="n">
        <f aca="false">ROUND(X128*(1+N(Debts!$D$13)/12),2)</f>
        <v>0</v>
      </c>
      <c r="AI129" s="56" t="n">
        <f aca="false">ROUND(Y128*(1+N(Debts!$D$14)/12),2)</f>
        <v>0</v>
      </c>
      <c r="AJ129" s="56" t="n">
        <f aca="false">MIN(Z129,MAX(0,N(Debts!$E$5)))</f>
        <v>0</v>
      </c>
      <c r="AK129" s="56" t="n">
        <f aca="false">MIN(AA129,MAX(0,N(Debts!$E$6)))</f>
        <v>0</v>
      </c>
      <c r="AL129" s="56" t="n">
        <f aca="false">MIN(AB129,MAX(0,N(Debts!$E$7)))</f>
        <v>0</v>
      </c>
      <c r="AM129" s="56" t="n">
        <f aca="false">MIN(AC129,MAX(0,N(Debts!$E$8)))</f>
        <v>0</v>
      </c>
      <c r="AN129" s="56" t="n">
        <f aca="false">MIN(AD129,MAX(0,N(Debts!$E$9)))</f>
        <v>0</v>
      </c>
      <c r="AO129" s="56" t="n">
        <f aca="false">MIN(AE129,MAX(0,N(Debts!$E$10)))</f>
        <v>0</v>
      </c>
      <c r="AP129" s="56" t="n">
        <f aca="false">MIN(AF129,MAX(0,N(Debts!$E$11)))</f>
        <v>0</v>
      </c>
      <c r="AQ129" s="56" t="n">
        <f aca="false">MIN(AG129,MAX(0,N(Debts!$E$12)))</f>
        <v>0</v>
      </c>
      <c r="AR129" s="56" t="n">
        <f aca="false">MIN(AH129,MAX(0,N(Debts!$E$13)))</f>
        <v>0</v>
      </c>
      <c r="AS129" s="56" t="n">
        <f aca="false">MIN(AI129,MAX(0,N(Debts!$E$14)))</f>
        <v>0</v>
      </c>
    </row>
    <row r="130" customFormat="false" ht="15" hidden="false" customHeight="false" outlineLevel="0" collapsed="false">
      <c r="A130" s="53" t="n">
        <v>126</v>
      </c>
      <c r="B130" s="54" t="n">
        <f aca="false">EDATE('Start Here'!$B$8,125)</f>
        <v>50131</v>
      </c>
      <c r="C130" s="42" t="n">
        <f aca="false">SUM(F130:O130)</f>
        <v>0</v>
      </c>
      <c r="D130" s="42" t="n">
        <f aca="false">ROUND(SUM($Z130:$AI130)-SUM(P129:Y129),2)</f>
        <v>0</v>
      </c>
      <c r="E130" s="55" t="n">
        <f aca="false">SUM(P130:Y130)</f>
        <v>0</v>
      </c>
      <c r="F130" s="42" t="n">
        <f aca="false">AJ130+MIN(Z130-AJ130,MAX(0,'Start Here'!$B$10-SUM($AJ130:$AS130)-SUMPRODUCT(($Z$3:$AI$3&lt;Z$3)*($Z130:$AI130-$AJ130:$AS130))))</f>
        <v>0</v>
      </c>
      <c r="G130" s="42" t="n">
        <f aca="false">AK130+MIN(AA130-AK130,MAX(0,'Start Here'!$B$10-SUM($AJ130:$AS130)-SUMPRODUCT(($Z$3:$AI$3&lt;AA$3)*($Z130:$AI130-$AJ130:$AS130))))</f>
        <v>0</v>
      </c>
      <c r="H130" s="42" t="n">
        <f aca="false">AL130+MIN(AB130-AL130,MAX(0,'Start Here'!$B$10-SUM($AJ130:$AS130)-SUMPRODUCT(($Z$3:$AI$3&lt;AB$3)*($Z130:$AI130-$AJ130:$AS130))))</f>
        <v>0</v>
      </c>
      <c r="I130" s="42" t="n">
        <f aca="false">AM130+MIN(AC130-AM130,MAX(0,'Start Here'!$B$10-SUM($AJ130:$AS130)-SUMPRODUCT(($Z$3:$AI$3&lt;AC$3)*($Z130:$AI130-$AJ130:$AS130))))</f>
        <v>0</v>
      </c>
      <c r="J130" s="42" t="n">
        <f aca="false">AN130+MIN(AD130-AN130,MAX(0,'Start Here'!$B$10-SUM($AJ130:$AS130)-SUMPRODUCT(($Z$3:$AI$3&lt;AD$3)*($Z130:$AI130-$AJ130:$AS130))))</f>
        <v>0</v>
      </c>
      <c r="K130" s="42" t="n">
        <f aca="false">AO130+MIN(AE130-AO130,MAX(0,'Start Here'!$B$10-SUM($AJ130:$AS130)-SUMPRODUCT(($Z$3:$AI$3&lt;AE$3)*($Z130:$AI130-$AJ130:$AS130))))</f>
        <v>0</v>
      </c>
      <c r="L130" s="42" t="n">
        <f aca="false">AP130+MIN(AF130-AP130,MAX(0,'Start Here'!$B$10-SUM($AJ130:$AS130)-SUMPRODUCT(($Z$3:$AI$3&lt;AF$3)*($Z130:$AI130-$AJ130:$AS130))))</f>
        <v>0</v>
      </c>
      <c r="M130" s="42" t="n">
        <f aca="false">AQ130+MIN(AG130-AQ130,MAX(0,'Start Here'!$B$10-SUM($AJ130:$AS130)-SUMPRODUCT(($Z$3:$AI$3&lt;AG$3)*($Z130:$AI130-$AJ130:$AS130))))</f>
        <v>0</v>
      </c>
      <c r="N130" s="42" t="n">
        <f aca="false">AR130+MIN(AH130-AR130,MAX(0,'Start Here'!$B$10-SUM($AJ130:$AS130)-SUMPRODUCT(($Z$3:$AI$3&lt;AH$3)*($Z130:$AI130-$AJ130:$AS130))))</f>
        <v>0</v>
      </c>
      <c r="O130" s="42" t="n">
        <f aca="false">AS130+MIN(AI130-AS130,MAX(0,'Start Here'!$B$10-SUM($AJ130:$AS130)-SUMPRODUCT(($Z$3:$AI$3&lt;AI$3)*($Z130:$AI130-$AJ130:$AS130))))</f>
        <v>0</v>
      </c>
      <c r="P130" s="42" t="n">
        <f aca="false">ROUND(Z130-F130,2)</f>
        <v>0</v>
      </c>
      <c r="Q130" s="42" t="n">
        <f aca="false">ROUND(AA130-G130,2)</f>
        <v>0</v>
      </c>
      <c r="R130" s="42" t="n">
        <f aca="false">ROUND(AB130-H130,2)</f>
        <v>0</v>
      </c>
      <c r="S130" s="42" t="n">
        <f aca="false">ROUND(AC130-I130,2)</f>
        <v>0</v>
      </c>
      <c r="T130" s="42" t="n">
        <f aca="false">ROUND(AD130-J130,2)</f>
        <v>0</v>
      </c>
      <c r="U130" s="42" t="n">
        <f aca="false">ROUND(AE130-K130,2)</f>
        <v>0</v>
      </c>
      <c r="V130" s="42" t="n">
        <f aca="false">ROUND(AF130-L130,2)</f>
        <v>0</v>
      </c>
      <c r="W130" s="42" t="n">
        <f aca="false">ROUND(AG130-M130,2)</f>
        <v>0</v>
      </c>
      <c r="X130" s="42" t="n">
        <f aca="false">ROUND(AH130-N130,2)</f>
        <v>0</v>
      </c>
      <c r="Y130" s="42" t="n">
        <f aca="false">ROUND(AI130-O130,2)</f>
        <v>0</v>
      </c>
      <c r="Z130" s="56" t="n">
        <f aca="false">ROUND(P129*(1+N(Debts!$D$5)/12),2)</f>
        <v>0</v>
      </c>
      <c r="AA130" s="56" t="n">
        <f aca="false">ROUND(Q129*(1+N(Debts!$D$6)/12),2)</f>
        <v>0</v>
      </c>
      <c r="AB130" s="56" t="n">
        <f aca="false">ROUND(R129*(1+N(Debts!$D$7)/12),2)</f>
        <v>0</v>
      </c>
      <c r="AC130" s="56" t="n">
        <f aca="false">ROUND(S129*(1+N(Debts!$D$8)/12),2)</f>
        <v>0</v>
      </c>
      <c r="AD130" s="56" t="n">
        <f aca="false">ROUND(T129*(1+N(Debts!$D$9)/12),2)</f>
        <v>0</v>
      </c>
      <c r="AE130" s="56" t="n">
        <f aca="false">ROUND(U129*(1+N(Debts!$D$10)/12),2)</f>
        <v>0</v>
      </c>
      <c r="AF130" s="56" t="n">
        <f aca="false">ROUND(V129*(1+N(Debts!$D$11)/12),2)</f>
        <v>0</v>
      </c>
      <c r="AG130" s="56" t="n">
        <f aca="false">ROUND(W129*(1+N(Debts!$D$12)/12),2)</f>
        <v>0</v>
      </c>
      <c r="AH130" s="56" t="n">
        <f aca="false">ROUND(X129*(1+N(Debts!$D$13)/12),2)</f>
        <v>0</v>
      </c>
      <c r="AI130" s="56" t="n">
        <f aca="false">ROUND(Y129*(1+N(Debts!$D$14)/12),2)</f>
        <v>0</v>
      </c>
      <c r="AJ130" s="56" t="n">
        <f aca="false">MIN(Z130,MAX(0,N(Debts!$E$5)))</f>
        <v>0</v>
      </c>
      <c r="AK130" s="56" t="n">
        <f aca="false">MIN(AA130,MAX(0,N(Debts!$E$6)))</f>
        <v>0</v>
      </c>
      <c r="AL130" s="56" t="n">
        <f aca="false">MIN(AB130,MAX(0,N(Debts!$E$7)))</f>
        <v>0</v>
      </c>
      <c r="AM130" s="56" t="n">
        <f aca="false">MIN(AC130,MAX(0,N(Debts!$E$8)))</f>
        <v>0</v>
      </c>
      <c r="AN130" s="56" t="n">
        <f aca="false">MIN(AD130,MAX(0,N(Debts!$E$9)))</f>
        <v>0</v>
      </c>
      <c r="AO130" s="56" t="n">
        <f aca="false">MIN(AE130,MAX(0,N(Debts!$E$10)))</f>
        <v>0</v>
      </c>
      <c r="AP130" s="56" t="n">
        <f aca="false">MIN(AF130,MAX(0,N(Debts!$E$11)))</f>
        <v>0</v>
      </c>
      <c r="AQ130" s="56" t="n">
        <f aca="false">MIN(AG130,MAX(0,N(Debts!$E$12)))</f>
        <v>0</v>
      </c>
      <c r="AR130" s="56" t="n">
        <f aca="false">MIN(AH130,MAX(0,N(Debts!$E$13)))</f>
        <v>0</v>
      </c>
      <c r="AS130" s="56" t="n">
        <f aca="false">MIN(AI130,MAX(0,N(Debts!$E$14)))</f>
        <v>0</v>
      </c>
    </row>
    <row r="131" customFormat="false" ht="15" hidden="false" customHeight="false" outlineLevel="0" collapsed="false">
      <c r="A131" s="53" t="n">
        <v>127</v>
      </c>
      <c r="B131" s="54" t="n">
        <f aca="false">EDATE('Start Here'!$B$8,126)</f>
        <v>50161</v>
      </c>
      <c r="C131" s="42" t="n">
        <f aca="false">SUM(F131:O131)</f>
        <v>0</v>
      </c>
      <c r="D131" s="42" t="n">
        <f aca="false">ROUND(SUM($Z131:$AI131)-SUM(P130:Y130),2)</f>
        <v>0</v>
      </c>
      <c r="E131" s="55" t="n">
        <f aca="false">SUM(P131:Y131)</f>
        <v>0</v>
      </c>
      <c r="F131" s="42" t="n">
        <f aca="false">AJ131+MIN(Z131-AJ131,MAX(0,'Start Here'!$B$10-SUM($AJ131:$AS131)-SUMPRODUCT(($Z$3:$AI$3&lt;Z$3)*($Z131:$AI131-$AJ131:$AS131))))</f>
        <v>0</v>
      </c>
      <c r="G131" s="42" t="n">
        <f aca="false">AK131+MIN(AA131-AK131,MAX(0,'Start Here'!$B$10-SUM($AJ131:$AS131)-SUMPRODUCT(($Z$3:$AI$3&lt;AA$3)*($Z131:$AI131-$AJ131:$AS131))))</f>
        <v>0</v>
      </c>
      <c r="H131" s="42" t="n">
        <f aca="false">AL131+MIN(AB131-AL131,MAX(0,'Start Here'!$B$10-SUM($AJ131:$AS131)-SUMPRODUCT(($Z$3:$AI$3&lt;AB$3)*($Z131:$AI131-$AJ131:$AS131))))</f>
        <v>0</v>
      </c>
      <c r="I131" s="42" t="n">
        <f aca="false">AM131+MIN(AC131-AM131,MAX(0,'Start Here'!$B$10-SUM($AJ131:$AS131)-SUMPRODUCT(($Z$3:$AI$3&lt;AC$3)*($Z131:$AI131-$AJ131:$AS131))))</f>
        <v>0</v>
      </c>
      <c r="J131" s="42" t="n">
        <f aca="false">AN131+MIN(AD131-AN131,MAX(0,'Start Here'!$B$10-SUM($AJ131:$AS131)-SUMPRODUCT(($Z$3:$AI$3&lt;AD$3)*($Z131:$AI131-$AJ131:$AS131))))</f>
        <v>0</v>
      </c>
      <c r="K131" s="42" t="n">
        <f aca="false">AO131+MIN(AE131-AO131,MAX(0,'Start Here'!$B$10-SUM($AJ131:$AS131)-SUMPRODUCT(($Z$3:$AI$3&lt;AE$3)*($Z131:$AI131-$AJ131:$AS131))))</f>
        <v>0</v>
      </c>
      <c r="L131" s="42" t="n">
        <f aca="false">AP131+MIN(AF131-AP131,MAX(0,'Start Here'!$B$10-SUM($AJ131:$AS131)-SUMPRODUCT(($Z$3:$AI$3&lt;AF$3)*($Z131:$AI131-$AJ131:$AS131))))</f>
        <v>0</v>
      </c>
      <c r="M131" s="42" t="n">
        <f aca="false">AQ131+MIN(AG131-AQ131,MAX(0,'Start Here'!$B$10-SUM($AJ131:$AS131)-SUMPRODUCT(($Z$3:$AI$3&lt;AG$3)*($Z131:$AI131-$AJ131:$AS131))))</f>
        <v>0</v>
      </c>
      <c r="N131" s="42" t="n">
        <f aca="false">AR131+MIN(AH131-AR131,MAX(0,'Start Here'!$B$10-SUM($AJ131:$AS131)-SUMPRODUCT(($Z$3:$AI$3&lt;AH$3)*($Z131:$AI131-$AJ131:$AS131))))</f>
        <v>0</v>
      </c>
      <c r="O131" s="42" t="n">
        <f aca="false">AS131+MIN(AI131-AS131,MAX(0,'Start Here'!$B$10-SUM($AJ131:$AS131)-SUMPRODUCT(($Z$3:$AI$3&lt;AI$3)*($Z131:$AI131-$AJ131:$AS131))))</f>
        <v>0</v>
      </c>
      <c r="P131" s="42" t="n">
        <f aca="false">ROUND(Z131-F131,2)</f>
        <v>0</v>
      </c>
      <c r="Q131" s="42" t="n">
        <f aca="false">ROUND(AA131-G131,2)</f>
        <v>0</v>
      </c>
      <c r="R131" s="42" t="n">
        <f aca="false">ROUND(AB131-H131,2)</f>
        <v>0</v>
      </c>
      <c r="S131" s="42" t="n">
        <f aca="false">ROUND(AC131-I131,2)</f>
        <v>0</v>
      </c>
      <c r="T131" s="42" t="n">
        <f aca="false">ROUND(AD131-J131,2)</f>
        <v>0</v>
      </c>
      <c r="U131" s="42" t="n">
        <f aca="false">ROUND(AE131-K131,2)</f>
        <v>0</v>
      </c>
      <c r="V131" s="42" t="n">
        <f aca="false">ROUND(AF131-L131,2)</f>
        <v>0</v>
      </c>
      <c r="W131" s="42" t="n">
        <f aca="false">ROUND(AG131-M131,2)</f>
        <v>0</v>
      </c>
      <c r="X131" s="42" t="n">
        <f aca="false">ROUND(AH131-N131,2)</f>
        <v>0</v>
      </c>
      <c r="Y131" s="42" t="n">
        <f aca="false">ROUND(AI131-O131,2)</f>
        <v>0</v>
      </c>
      <c r="Z131" s="56" t="n">
        <f aca="false">ROUND(P130*(1+N(Debts!$D$5)/12),2)</f>
        <v>0</v>
      </c>
      <c r="AA131" s="56" t="n">
        <f aca="false">ROUND(Q130*(1+N(Debts!$D$6)/12),2)</f>
        <v>0</v>
      </c>
      <c r="AB131" s="56" t="n">
        <f aca="false">ROUND(R130*(1+N(Debts!$D$7)/12),2)</f>
        <v>0</v>
      </c>
      <c r="AC131" s="56" t="n">
        <f aca="false">ROUND(S130*(1+N(Debts!$D$8)/12),2)</f>
        <v>0</v>
      </c>
      <c r="AD131" s="56" t="n">
        <f aca="false">ROUND(T130*(1+N(Debts!$D$9)/12),2)</f>
        <v>0</v>
      </c>
      <c r="AE131" s="56" t="n">
        <f aca="false">ROUND(U130*(1+N(Debts!$D$10)/12),2)</f>
        <v>0</v>
      </c>
      <c r="AF131" s="56" t="n">
        <f aca="false">ROUND(V130*(1+N(Debts!$D$11)/12),2)</f>
        <v>0</v>
      </c>
      <c r="AG131" s="56" t="n">
        <f aca="false">ROUND(W130*(1+N(Debts!$D$12)/12),2)</f>
        <v>0</v>
      </c>
      <c r="AH131" s="56" t="n">
        <f aca="false">ROUND(X130*(1+N(Debts!$D$13)/12),2)</f>
        <v>0</v>
      </c>
      <c r="AI131" s="56" t="n">
        <f aca="false">ROUND(Y130*(1+N(Debts!$D$14)/12),2)</f>
        <v>0</v>
      </c>
      <c r="AJ131" s="56" t="n">
        <f aca="false">MIN(Z131,MAX(0,N(Debts!$E$5)))</f>
        <v>0</v>
      </c>
      <c r="AK131" s="56" t="n">
        <f aca="false">MIN(AA131,MAX(0,N(Debts!$E$6)))</f>
        <v>0</v>
      </c>
      <c r="AL131" s="56" t="n">
        <f aca="false">MIN(AB131,MAX(0,N(Debts!$E$7)))</f>
        <v>0</v>
      </c>
      <c r="AM131" s="56" t="n">
        <f aca="false">MIN(AC131,MAX(0,N(Debts!$E$8)))</f>
        <v>0</v>
      </c>
      <c r="AN131" s="56" t="n">
        <f aca="false">MIN(AD131,MAX(0,N(Debts!$E$9)))</f>
        <v>0</v>
      </c>
      <c r="AO131" s="56" t="n">
        <f aca="false">MIN(AE131,MAX(0,N(Debts!$E$10)))</f>
        <v>0</v>
      </c>
      <c r="AP131" s="56" t="n">
        <f aca="false">MIN(AF131,MAX(0,N(Debts!$E$11)))</f>
        <v>0</v>
      </c>
      <c r="AQ131" s="56" t="n">
        <f aca="false">MIN(AG131,MAX(0,N(Debts!$E$12)))</f>
        <v>0</v>
      </c>
      <c r="AR131" s="56" t="n">
        <f aca="false">MIN(AH131,MAX(0,N(Debts!$E$13)))</f>
        <v>0</v>
      </c>
      <c r="AS131" s="56" t="n">
        <f aca="false">MIN(AI131,MAX(0,N(Debts!$E$14)))</f>
        <v>0</v>
      </c>
    </row>
    <row r="132" customFormat="false" ht="15" hidden="false" customHeight="false" outlineLevel="0" collapsed="false">
      <c r="A132" s="53" t="n">
        <v>128</v>
      </c>
      <c r="B132" s="54" t="n">
        <f aca="false">EDATE('Start Here'!$B$8,127)</f>
        <v>50192</v>
      </c>
      <c r="C132" s="42" t="n">
        <f aca="false">SUM(F132:O132)</f>
        <v>0</v>
      </c>
      <c r="D132" s="42" t="n">
        <f aca="false">ROUND(SUM($Z132:$AI132)-SUM(P131:Y131),2)</f>
        <v>0</v>
      </c>
      <c r="E132" s="55" t="n">
        <f aca="false">SUM(P132:Y132)</f>
        <v>0</v>
      </c>
      <c r="F132" s="42" t="n">
        <f aca="false">AJ132+MIN(Z132-AJ132,MAX(0,'Start Here'!$B$10-SUM($AJ132:$AS132)-SUMPRODUCT(($Z$3:$AI$3&lt;Z$3)*($Z132:$AI132-$AJ132:$AS132))))</f>
        <v>0</v>
      </c>
      <c r="G132" s="42" t="n">
        <f aca="false">AK132+MIN(AA132-AK132,MAX(0,'Start Here'!$B$10-SUM($AJ132:$AS132)-SUMPRODUCT(($Z$3:$AI$3&lt;AA$3)*($Z132:$AI132-$AJ132:$AS132))))</f>
        <v>0</v>
      </c>
      <c r="H132" s="42" t="n">
        <f aca="false">AL132+MIN(AB132-AL132,MAX(0,'Start Here'!$B$10-SUM($AJ132:$AS132)-SUMPRODUCT(($Z$3:$AI$3&lt;AB$3)*($Z132:$AI132-$AJ132:$AS132))))</f>
        <v>0</v>
      </c>
      <c r="I132" s="42" t="n">
        <f aca="false">AM132+MIN(AC132-AM132,MAX(0,'Start Here'!$B$10-SUM($AJ132:$AS132)-SUMPRODUCT(($Z$3:$AI$3&lt;AC$3)*($Z132:$AI132-$AJ132:$AS132))))</f>
        <v>0</v>
      </c>
      <c r="J132" s="42" t="n">
        <f aca="false">AN132+MIN(AD132-AN132,MAX(0,'Start Here'!$B$10-SUM($AJ132:$AS132)-SUMPRODUCT(($Z$3:$AI$3&lt;AD$3)*($Z132:$AI132-$AJ132:$AS132))))</f>
        <v>0</v>
      </c>
      <c r="K132" s="42" t="n">
        <f aca="false">AO132+MIN(AE132-AO132,MAX(0,'Start Here'!$B$10-SUM($AJ132:$AS132)-SUMPRODUCT(($Z$3:$AI$3&lt;AE$3)*($Z132:$AI132-$AJ132:$AS132))))</f>
        <v>0</v>
      </c>
      <c r="L132" s="42" t="n">
        <f aca="false">AP132+MIN(AF132-AP132,MAX(0,'Start Here'!$B$10-SUM($AJ132:$AS132)-SUMPRODUCT(($Z$3:$AI$3&lt;AF$3)*($Z132:$AI132-$AJ132:$AS132))))</f>
        <v>0</v>
      </c>
      <c r="M132" s="42" t="n">
        <f aca="false">AQ132+MIN(AG132-AQ132,MAX(0,'Start Here'!$B$10-SUM($AJ132:$AS132)-SUMPRODUCT(($Z$3:$AI$3&lt;AG$3)*($Z132:$AI132-$AJ132:$AS132))))</f>
        <v>0</v>
      </c>
      <c r="N132" s="42" t="n">
        <f aca="false">AR132+MIN(AH132-AR132,MAX(0,'Start Here'!$B$10-SUM($AJ132:$AS132)-SUMPRODUCT(($Z$3:$AI$3&lt;AH$3)*($Z132:$AI132-$AJ132:$AS132))))</f>
        <v>0</v>
      </c>
      <c r="O132" s="42" t="n">
        <f aca="false">AS132+MIN(AI132-AS132,MAX(0,'Start Here'!$B$10-SUM($AJ132:$AS132)-SUMPRODUCT(($Z$3:$AI$3&lt;AI$3)*($Z132:$AI132-$AJ132:$AS132))))</f>
        <v>0</v>
      </c>
      <c r="P132" s="42" t="n">
        <f aca="false">ROUND(Z132-F132,2)</f>
        <v>0</v>
      </c>
      <c r="Q132" s="42" t="n">
        <f aca="false">ROUND(AA132-G132,2)</f>
        <v>0</v>
      </c>
      <c r="R132" s="42" t="n">
        <f aca="false">ROUND(AB132-H132,2)</f>
        <v>0</v>
      </c>
      <c r="S132" s="42" t="n">
        <f aca="false">ROUND(AC132-I132,2)</f>
        <v>0</v>
      </c>
      <c r="T132" s="42" t="n">
        <f aca="false">ROUND(AD132-J132,2)</f>
        <v>0</v>
      </c>
      <c r="U132" s="42" t="n">
        <f aca="false">ROUND(AE132-K132,2)</f>
        <v>0</v>
      </c>
      <c r="V132" s="42" t="n">
        <f aca="false">ROUND(AF132-L132,2)</f>
        <v>0</v>
      </c>
      <c r="W132" s="42" t="n">
        <f aca="false">ROUND(AG132-M132,2)</f>
        <v>0</v>
      </c>
      <c r="X132" s="42" t="n">
        <f aca="false">ROUND(AH132-N132,2)</f>
        <v>0</v>
      </c>
      <c r="Y132" s="42" t="n">
        <f aca="false">ROUND(AI132-O132,2)</f>
        <v>0</v>
      </c>
      <c r="Z132" s="56" t="n">
        <f aca="false">ROUND(P131*(1+N(Debts!$D$5)/12),2)</f>
        <v>0</v>
      </c>
      <c r="AA132" s="56" t="n">
        <f aca="false">ROUND(Q131*(1+N(Debts!$D$6)/12),2)</f>
        <v>0</v>
      </c>
      <c r="AB132" s="56" t="n">
        <f aca="false">ROUND(R131*(1+N(Debts!$D$7)/12),2)</f>
        <v>0</v>
      </c>
      <c r="AC132" s="56" t="n">
        <f aca="false">ROUND(S131*(1+N(Debts!$D$8)/12),2)</f>
        <v>0</v>
      </c>
      <c r="AD132" s="56" t="n">
        <f aca="false">ROUND(T131*(1+N(Debts!$D$9)/12),2)</f>
        <v>0</v>
      </c>
      <c r="AE132" s="56" t="n">
        <f aca="false">ROUND(U131*(1+N(Debts!$D$10)/12),2)</f>
        <v>0</v>
      </c>
      <c r="AF132" s="56" t="n">
        <f aca="false">ROUND(V131*(1+N(Debts!$D$11)/12),2)</f>
        <v>0</v>
      </c>
      <c r="AG132" s="56" t="n">
        <f aca="false">ROUND(W131*(1+N(Debts!$D$12)/12),2)</f>
        <v>0</v>
      </c>
      <c r="AH132" s="56" t="n">
        <f aca="false">ROUND(X131*(1+N(Debts!$D$13)/12),2)</f>
        <v>0</v>
      </c>
      <c r="AI132" s="56" t="n">
        <f aca="false">ROUND(Y131*(1+N(Debts!$D$14)/12),2)</f>
        <v>0</v>
      </c>
      <c r="AJ132" s="56" t="n">
        <f aca="false">MIN(Z132,MAX(0,N(Debts!$E$5)))</f>
        <v>0</v>
      </c>
      <c r="AK132" s="56" t="n">
        <f aca="false">MIN(AA132,MAX(0,N(Debts!$E$6)))</f>
        <v>0</v>
      </c>
      <c r="AL132" s="56" t="n">
        <f aca="false">MIN(AB132,MAX(0,N(Debts!$E$7)))</f>
        <v>0</v>
      </c>
      <c r="AM132" s="56" t="n">
        <f aca="false">MIN(AC132,MAX(0,N(Debts!$E$8)))</f>
        <v>0</v>
      </c>
      <c r="AN132" s="56" t="n">
        <f aca="false">MIN(AD132,MAX(0,N(Debts!$E$9)))</f>
        <v>0</v>
      </c>
      <c r="AO132" s="56" t="n">
        <f aca="false">MIN(AE132,MAX(0,N(Debts!$E$10)))</f>
        <v>0</v>
      </c>
      <c r="AP132" s="56" t="n">
        <f aca="false">MIN(AF132,MAX(0,N(Debts!$E$11)))</f>
        <v>0</v>
      </c>
      <c r="AQ132" s="56" t="n">
        <f aca="false">MIN(AG132,MAX(0,N(Debts!$E$12)))</f>
        <v>0</v>
      </c>
      <c r="AR132" s="56" t="n">
        <f aca="false">MIN(AH132,MAX(0,N(Debts!$E$13)))</f>
        <v>0</v>
      </c>
      <c r="AS132" s="56" t="n">
        <f aca="false">MIN(AI132,MAX(0,N(Debts!$E$14)))</f>
        <v>0</v>
      </c>
    </row>
    <row r="133" customFormat="false" ht="15" hidden="false" customHeight="false" outlineLevel="0" collapsed="false">
      <c r="A133" s="53" t="n">
        <v>129</v>
      </c>
      <c r="B133" s="54" t="n">
        <f aca="false">EDATE('Start Here'!$B$8,128)</f>
        <v>50222</v>
      </c>
      <c r="C133" s="42" t="n">
        <f aca="false">SUM(F133:O133)</f>
        <v>0</v>
      </c>
      <c r="D133" s="42" t="n">
        <f aca="false">ROUND(SUM($Z133:$AI133)-SUM(P132:Y132),2)</f>
        <v>0</v>
      </c>
      <c r="E133" s="55" t="n">
        <f aca="false">SUM(P133:Y133)</f>
        <v>0</v>
      </c>
      <c r="F133" s="42" t="n">
        <f aca="false">AJ133+MIN(Z133-AJ133,MAX(0,'Start Here'!$B$10-SUM($AJ133:$AS133)-SUMPRODUCT(($Z$3:$AI$3&lt;Z$3)*($Z133:$AI133-$AJ133:$AS133))))</f>
        <v>0</v>
      </c>
      <c r="G133" s="42" t="n">
        <f aca="false">AK133+MIN(AA133-AK133,MAX(0,'Start Here'!$B$10-SUM($AJ133:$AS133)-SUMPRODUCT(($Z$3:$AI$3&lt;AA$3)*($Z133:$AI133-$AJ133:$AS133))))</f>
        <v>0</v>
      </c>
      <c r="H133" s="42" t="n">
        <f aca="false">AL133+MIN(AB133-AL133,MAX(0,'Start Here'!$B$10-SUM($AJ133:$AS133)-SUMPRODUCT(($Z$3:$AI$3&lt;AB$3)*($Z133:$AI133-$AJ133:$AS133))))</f>
        <v>0</v>
      </c>
      <c r="I133" s="42" t="n">
        <f aca="false">AM133+MIN(AC133-AM133,MAX(0,'Start Here'!$B$10-SUM($AJ133:$AS133)-SUMPRODUCT(($Z$3:$AI$3&lt;AC$3)*($Z133:$AI133-$AJ133:$AS133))))</f>
        <v>0</v>
      </c>
      <c r="J133" s="42" t="n">
        <f aca="false">AN133+MIN(AD133-AN133,MAX(0,'Start Here'!$B$10-SUM($AJ133:$AS133)-SUMPRODUCT(($Z$3:$AI$3&lt;AD$3)*($Z133:$AI133-$AJ133:$AS133))))</f>
        <v>0</v>
      </c>
      <c r="K133" s="42" t="n">
        <f aca="false">AO133+MIN(AE133-AO133,MAX(0,'Start Here'!$B$10-SUM($AJ133:$AS133)-SUMPRODUCT(($Z$3:$AI$3&lt;AE$3)*($Z133:$AI133-$AJ133:$AS133))))</f>
        <v>0</v>
      </c>
      <c r="L133" s="42" t="n">
        <f aca="false">AP133+MIN(AF133-AP133,MAX(0,'Start Here'!$B$10-SUM($AJ133:$AS133)-SUMPRODUCT(($Z$3:$AI$3&lt;AF$3)*($Z133:$AI133-$AJ133:$AS133))))</f>
        <v>0</v>
      </c>
      <c r="M133" s="42" t="n">
        <f aca="false">AQ133+MIN(AG133-AQ133,MAX(0,'Start Here'!$B$10-SUM($AJ133:$AS133)-SUMPRODUCT(($Z$3:$AI$3&lt;AG$3)*($Z133:$AI133-$AJ133:$AS133))))</f>
        <v>0</v>
      </c>
      <c r="N133" s="42" t="n">
        <f aca="false">AR133+MIN(AH133-AR133,MAX(0,'Start Here'!$B$10-SUM($AJ133:$AS133)-SUMPRODUCT(($Z$3:$AI$3&lt;AH$3)*($Z133:$AI133-$AJ133:$AS133))))</f>
        <v>0</v>
      </c>
      <c r="O133" s="42" t="n">
        <f aca="false">AS133+MIN(AI133-AS133,MAX(0,'Start Here'!$B$10-SUM($AJ133:$AS133)-SUMPRODUCT(($Z$3:$AI$3&lt;AI$3)*($Z133:$AI133-$AJ133:$AS133))))</f>
        <v>0</v>
      </c>
      <c r="P133" s="42" t="n">
        <f aca="false">ROUND(Z133-F133,2)</f>
        <v>0</v>
      </c>
      <c r="Q133" s="42" t="n">
        <f aca="false">ROUND(AA133-G133,2)</f>
        <v>0</v>
      </c>
      <c r="R133" s="42" t="n">
        <f aca="false">ROUND(AB133-H133,2)</f>
        <v>0</v>
      </c>
      <c r="S133" s="42" t="n">
        <f aca="false">ROUND(AC133-I133,2)</f>
        <v>0</v>
      </c>
      <c r="T133" s="42" t="n">
        <f aca="false">ROUND(AD133-J133,2)</f>
        <v>0</v>
      </c>
      <c r="U133" s="42" t="n">
        <f aca="false">ROUND(AE133-K133,2)</f>
        <v>0</v>
      </c>
      <c r="V133" s="42" t="n">
        <f aca="false">ROUND(AF133-L133,2)</f>
        <v>0</v>
      </c>
      <c r="W133" s="42" t="n">
        <f aca="false">ROUND(AG133-M133,2)</f>
        <v>0</v>
      </c>
      <c r="X133" s="42" t="n">
        <f aca="false">ROUND(AH133-N133,2)</f>
        <v>0</v>
      </c>
      <c r="Y133" s="42" t="n">
        <f aca="false">ROUND(AI133-O133,2)</f>
        <v>0</v>
      </c>
      <c r="Z133" s="56" t="n">
        <f aca="false">ROUND(P132*(1+N(Debts!$D$5)/12),2)</f>
        <v>0</v>
      </c>
      <c r="AA133" s="56" t="n">
        <f aca="false">ROUND(Q132*(1+N(Debts!$D$6)/12),2)</f>
        <v>0</v>
      </c>
      <c r="AB133" s="56" t="n">
        <f aca="false">ROUND(R132*(1+N(Debts!$D$7)/12),2)</f>
        <v>0</v>
      </c>
      <c r="AC133" s="56" t="n">
        <f aca="false">ROUND(S132*(1+N(Debts!$D$8)/12),2)</f>
        <v>0</v>
      </c>
      <c r="AD133" s="56" t="n">
        <f aca="false">ROUND(T132*(1+N(Debts!$D$9)/12),2)</f>
        <v>0</v>
      </c>
      <c r="AE133" s="56" t="n">
        <f aca="false">ROUND(U132*(1+N(Debts!$D$10)/12),2)</f>
        <v>0</v>
      </c>
      <c r="AF133" s="56" t="n">
        <f aca="false">ROUND(V132*(1+N(Debts!$D$11)/12),2)</f>
        <v>0</v>
      </c>
      <c r="AG133" s="56" t="n">
        <f aca="false">ROUND(W132*(1+N(Debts!$D$12)/12),2)</f>
        <v>0</v>
      </c>
      <c r="AH133" s="56" t="n">
        <f aca="false">ROUND(X132*(1+N(Debts!$D$13)/12),2)</f>
        <v>0</v>
      </c>
      <c r="AI133" s="56" t="n">
        <f aca="false">ROUND(Y132*(1+N(Debts!$D$14)/12),2)</f>
        <v>0</v>
      </c>
      <c r="AJ133" s="56" t="n">
        <f aca="false">MIN(Z133,MAX(0,N(Debts!$E$5)))</f>
        <v>0</v>
      </c>
      <c r="AK133" s="56" t="n">
        <f aca="false">MIN(AA133,MAX(0,N(Debts!$E$6)))</f>
        <v>0</v>
      </c>
      <c r="AL133" s="56" t="n">
        <f aca="false">MIN(AB133,MAX(0,N(Debts!$E$7)))</f>
        <v>0</v>
      </c>
      <c r="AM133" s="56" t="n">
        <f aca="false">MIN(AC133,MAX(0,N(Debts!$E$8)))</f>
        <v>0</v>
      </c>
      <c r="AN133" s="56" t="n">
        <f aca="false">MIN(AD133,MAX(0,N(Debts!$E$9)))</f>
        <v>0</v>
      </c>
      <c r="AO133" s="56" t="n">
        <f aca="false">MIN(AE133,MAX(0,N(Debts!$E$10)))</f>
        <v>0</v>
      </c>
      <c r="AP133" s="56" t="n">
        <f aca="false">MIN(AF133,MAX(0,N(Debts!$E$11)))</f>
        <v>0</v>
      </c>
      <c r="AQ133" s="56" t="n">
        <f aca="false">MIN(AG133,MAX(0,N(Debts!$E$12)))</f>
        <v>0</v>
      </c>
      <c r="AR133" s="56" t="n">
        <f aca="false">MIN(AH133,MAX(0,N(Debts!$E$13)))</f>
        <v>0</v>
      </c>
      <c r="AS133" s="56" t="n">
        <f aca="false">MIN(AI133,MAX(0,N(Debts!$E$14)))</f>
        <v>0</v>
      </c>
    </row>
    <row r="134" customFormat="false" ht="15" hidden="false" customHeight="false" outlineLevel="0" collapsed="false">
      <c r="A134" s="53" t="n">
        <v>130</v>
      </c>
      <c r="B134" s="54" t="n">
        <f aca="false">EDATE('Start Here'!$B$8,129)</f>
        <v>50253</v>
      </c>
      <c r="C134" s="42" t="n">
        <f aca="false">SUM(F134:O134)</f>
        <v>0</v>
      </c>
      <c r="D134" s="42" t="n">
        <f aca="false">ROUND(SUM($Z134:$AI134)-SUM(P133:Y133),2)</f>
        <v>0</v>
      </c>
      <c r="E134" s="55" t="n">
        <f aca="false">SUM(P134:Y134)</f>
        <v>0</v>
      </c>
      <c r="F134" s="42" t="n">
        <f aca="false">AJ134+MIN(Z134-AJ134,MAX(0,'Start Here'!$B$10-SUM($AJ134:$AS134)-SUMPRODUCT(($Z$3:$AI$3&lt;Z$3)*($Z134:$AI134-$AJ134:$AS134))))</f>
        <v>0</v>
      </c>
      <c r="G134" s="42" t="n">
        <f aca="false">AK134+MIN(AA134-AK134,MAX(0,'Start Here'!$B$10-SUM($AJ134:$AS134)-SUMPRODUCT(($Z$3:$AI$3&lt;AA$3)*($Z134:$AI134-$AJ134:$AS134))))</f>
        <v>0</v>
      </c>
      <c r="H134" s="42" t="n">
        <f aca="false">AL134+MIN(AB134-AL134,MAX(0,'Start Here'!$B$10-SUM($AJ134:$AS134)-SUMPRODUCT(($Z$3:$AI$3&lt;AB$3)*($Z134:$AI134-$AJ134:$AS134))))</f>
        <v>0</v>
      </c>
      <c r="I134" s="42" t="n">
        <f aca="false">AM134+MIN(AC134-AM134,MAX(0,'Start Here'!$B$10-SUM($AJ134:$AS134)-SUMPRODUCT(($Z$3:$AI$3&lt;AC$3)*($Z134:$AI134-$AJ134:$AS134))))</f>
        <v>0</v>
      </c>
      <c r="J134" s="42" t="n">
        <f aca="false">AN134+MIN(AD134-AN134,MAX(0,'Start Here'!$B$10-SUM($AJ134:$AS134)-SUMPRODUCT(($Z$3:$AI$3&lt;AD$3)*($Z134:$AI134-$AJ134:$AS134))))</f>
        <v>0</v>
      </c>
      <c r="K134" s="42" t="n">
        <f aca="false">AO134+MIN(AE134-AO134,MAX(0,'Start Here'!$B$10-SUM($AJ134:$AS134)-SUMPRODUCT(($Z$3:$AI$3&lt;AE$3)*($Z134:$AI134-$AJ134:$AS134))))</f>
        <v>0</v>
      </c>
      <c r="L134" s="42" t="n">
        <f aca="false">AP134+MIN(AF134-AP134,MAX(0,'Start Here'!$B$10-SUM($AJ134:$AS134)-SUMPRODUCT(($Z$3:$AI$3&lt;AF$3)*($Z134:$AI134-$AJ134:$AS134))))</f>
        <v>0</v>
      </c>
      <c r="M134" s="42" t="n">
        <f aca="false">AQ134+MIN(AG134-AQ134,MAX(0,'Start Here'!$B$10-SUM($AJ134:$AS134)-SUMPRODUCT(($Z$3:$AI$3&lt;AG$3)*($Z134:$AI134-$AJ134:$AS134))))</f>
        <v>0</v>
      </c>
      <c r="N134" s="42" t="n">
        <f aca="false">AR134+MIN(AH134-AR134,MAX(0,'Start Here'!$B$10-SUM($AJ134:$AS134)-SUMPRODUCT(($Z$3:$AI$3&lt;AH$3)*($Z134:$AI134-$AJ134:$AS134))))</f>
        <v>0</v>
      </c>
      <c r="O134" s="42" t="n">
        <f aca="false">AS134+MIN(AI134-AS134,MAX(0,'Start Here'!$B$10-SUM($AJ134:$AS134)-SUMPRODUCT(($Z$3:$AI$3&lt;AI$3)*($Z134:$AI134-$AJ134:$AS134))))</f>
        <v>0</v>
      </c>
      <c r="P134" s="42" t="n">
        <f aca="false">ROUND(Z134-F134,2)</f>
        <v>0</v>
      </c>
      <c r="Q134" s="42" t="n">
        <f aca="false">ROUND(AA134-G134,2)</f>
        <v>0</v>
      </c>
      <c r="R134" s="42" t="n">
        <f aca="false">ROUND(AB134-H134,2)</f>
        <v>0</v>
      </c>
      <c r="S134" s="42" t="n">
        <f aca="false">ROUND(AC134-I134,2)</f>
        <v>0</v>
      </c>
      <c r="T134" s="42" t="n">
        <f aca="false">ROUND(AD134-J134,2)</f>
        <v>0</v>
      </c>
      <c r="U134" s="42" t="n">
        <f aca="false">ROUND(AE134-K134,2)</f>
        <v>0</v>
      </c>
      <c r="V134" s="42" t="n">
        <f aca="false">ROUND(AF134-L134,2)</f>
        <v>0</v>
      </c>
      <c r="W134" s="42" t="n">
        <f aca="false">ROUND(AG134-M134,2)</f>
        <v>0</v>
      </c>
      <c r="X134" s="42" t="n">
        <f aca="false">ROUND(AH134-N134,2)</f>
        <v>0</v>
      </c>
      <c r="Y134" s="42" t="n">
        <f aca="false">ROUND(AI134-O134,2)</f>
        <v>0</v>
      </c>
      <c r="Z134" s="56" t="n">
        <f aca="false">ROUND(P133*(1+N(Debts!$D$5)/12),2)</f>
        <v>0</v>
      </c>
      <c r="AA134" s="56" t="n">
        <f aca="false">ROUND(Q133*(1+N(Debts!$D$6)/12),2)</f>
        <v>0</v>
      </c>
      <c r="AB134" s="56" t="n">
        <f aca="false">ROUND(R133*(1+N(Debts!$D$7)/12),2)</f>
        <v>0</v>
      </c>
      <c r="AC134" s="56" t="n">
        <f aca="false">ROUND(S133*(1+N(Debts!$D$8)/12),2)</f>
        <v>0</v>
      </c>
      <c r="AD134" s="56" t="n">
        <f aca="false">ROUND(T133*(1+N(Debts!$D$9)/12),2)</f>
        <v>0</v>
      </c>
      <c r="AE134" s="56" t="n">
        <f aca="false">ROUND(U133*(1+N(Debts!$D$10)/12),2)</f>
        <v>0</v>
      </c>
      <c r="AF134" s="56" t="n">
        <f aca="false">ROUND(V133*(1+N(Debts!$D$11)/12),2)</f>
        <v>0</v>
      </c>
      <c r="AG134" s="56" t="n">
        <f aca="false">ROUND(W133*(1+N(Debts!$D$12)/12),2)</f>
        <v>0</v>
      </c>
      <c r="AH134" s="56" t="n">
        <f aca="false">ROUND(X133*(1+N(Debts!$D$13)/12),2)</f>
        <v>0</v>
      </c>
      <c r="AI134" s="56" t="n">
        <f aca="false">ROUND(Y133*(1+N(Debts!$D$14)/12),2)</f>
        <v>0</v>
      </c>
      <c r="AJ134" s="56" t="n">
        <f aca="false">MIN(Z134,MAX(0,N(Debts!$E$5)))</f>
        <v>0</v>
      </c>
      <c r="AK134" s="56" t="n">
        <f aca="false">MIN(AA134,MAX(0,N(Debts!$E$6)))</f>
        <v>0</v>
      </c>
      <c r="AL134" s="56" t="n">
        <f aca="false">MIN(AB134,MAX(0,N(Debts!$E$7)))</f>
        <v>0</v>
      </c>
      <c r="AM134" s="56" t="n">
        <f aca="false">MIN(AC134,MAX(0,N(Debts!$E$8)))</f>
        <v>0</v>
      </c>
      <c r="AN134" s="56" t="n">
        <f aca="false">MIN(AD134,MAX(0,N(Debts!$E$9)))</f>
        <v>0</v>
      </c>
      <c r="AO134" s="56" t="n">
        <f aca="false">MIN(AE134,MAX(0,N(Debts!$E$10)))</f>
        <v>0</v>
      </c>
      <c r="AP134" s="56" t="n">
        <f aca="false">MIN(AF134,MAX(0,N(Debts!$E$11)))</f>
        <v>0</v>
      </c>
      <c r="AQ134" s="56" t="n">
        <f aca="false">MIN(AG134,MAX(0,N(Debts!$E$12)))</f>
        <v>0</v>
      </c>
      <c r="AR134" s="56" t="n">
        <f aca="false">MIN(AH134,MAX(0,N(Debts!$E$13)))</f>
        <v>0</v>
      </c>
      <c r="AS134" s="56" t="n">
        <f aca="false">MIN(AI134,MAX(0,N(Debts!$E$14)))</f>
        <v>0</v>
      </c>
    </row>
    <row r="135" customFormat="false" ht="15" hidden="false" customHeight="false" outlineLevel="0" collapsed="false">
      <c r="A135" s="53" t="n">
        <v>131</v>
      </c>
      <c r="B135" s="54" t="n">
        <f aca="false">EDATE('Start Here'!$B$8,130)</f>
        <v>50284</v>
      </c>
      <c r="C135" s="42" t="n">
        <f aca="false">SUM(F135:O135)</f>
        <v>0</v>
      </c>
      <c r="D135" s="42" t="n">
        <f aca="false">ROUND(SUM($Z135:$AI135)-SUM(P134:Y134),2)</f>
        <v>0</v>
      </c>
      <c r="E135" s="55" t="n">
        <f aca="false">SUM(P135:Y135)</f>
        <v>0</v>
      </c>
      <c r="F135" s="42" t="n">
        <f aca="false">AJ135+MIN(Z135-AJ135,MAX(0,'Start Here'!$B$10-SUM($AJ135:$AS135)-SUMPRODUCT(($Z$3:$AI$3&lt;Z$3)*($Z135:$AI135-$AJ135:$AS135))))</f>
        <v>0</v>
      </c>
      <c r="G135" s="42" t="n">
        <f aca="false">AK135+MIN(AA135-AK135,MAX(0,'Start Here'!$B$10-SUM($AJ135:$AS135)-SUMPRODUCT(($Z$3:$AI$3&lt;AA$3)*($Z135:$AI135-$AJ135:$AS135))))</f>
        <v>0</v>
      </c>
      <c r="H135" s="42" t="n">
        <f aca="false">AL135+MIN(AB135-AL135,MAX(0,'Start Here'!$B$10-SUM($AJ135:$AS135)-SUMPRODUCT(($Z$3:$AI$3&lt;AB$3)*($Z135:$AI135-$AJ135:$AS135))))</f>
        <v>0</v>
      </c>
      <c r="I135" s="42" t="n">
        <f aca="false">AM135+MIN(AC135-AM135,MAX(0,'Start Here'!$B$10-SUM($AJ135:$AS135)-SUMPRODUCT(($Z$3:$AI$3&lt;AC$3)*($Z135:$AI135-$AJ135:$AS135))))</f>
        <v>0</v>
      </c>
      <c r="J135" s="42" t="n">
        <f aca="false">AN135+MIN(AD135-AN135,MAX(0,'Start Here'!$B$10-SUM($AJ135:$AS135)-SUMPRODUCT(($Z$3:$AI$3&lt;AD$3)*($Z135:$AI135-$AJ135:$AS135))))</f>
        <v>0</v>
      </c>
      <c r="K135" s="42" t="n">
        <f aca="false">AO135+MIN(AE135-AO135,MAX(0,'Start Here'!$B$10-SUM($AJ135:$AS135)-SUMPRODUCT(($Z$3:$AI$3&lt;AE$3)*($Z135:$AI135-$AJ135:$AS135))))</f>
        <v>0</v>
      </c>
      <c r="L135" s="42" t="n">
        <f aca="false">AP135+MIN(AF135-AP135,MAX(0,'Start Here'!$B$10-SUM($AJ135:$AS135)-SUMPRODUCT(($Z$3:$AI$3&lt;AF$3)*($Z135:$AI135-$AJ135:$AS135))))</f>
        <v>0</v>
      </c>
      <c r="M135" s="42" t="n">
        <f aca="false">AQ135+MIN(AG135-AQ135,MAX(0,'Start Here'!$B$10-SUM($AJ135:$AS135)-SUMPRODUCT(($Z$3:$AI$3&lt;AG$3)*($Z135:$AI135-$AJ135:$AS135))))</f>
        <v>0</v>
      </c>
      <c r="N135" s="42" t="n">
        <f aca="false">AR135+MIN(AH135-AR135,MAX(0,'Start Here'!$B$10-SUM($AJ135:$AS135)-SUMPRODUCT(($Z$3:$AI$3&lt;AH$3)*($Z135:$AI135-$AJ135:$AS135))))</f>
        <v>0</v>
      </c>
      <c r="O135" s="42" t="n">
        <f aca="false">AS135+MIN(AI135-AS135,MAX(0,'Start Here'!$B$10-SUM($AJ135:$AS135)-SUMPRODUCT(($Z$3:$AI$3&lt;AI$3)*($Z135:$AI135-$AJ135:$AS135))))</f>
        <v>0</v>
      </c>
      <c r="P135" s="42" t="n">
        <f aca="false">ROUND(Z135-F135,2)</f>
        <v>0</v>
      </c>
      <c r="Q135" s="42" t="n">
        <f aca="false">ROUND(AA135-G135,2)</f>
        <v>0</v>
      </c>
      <c r="R135" s="42" t="n">
        <f aca="false">ROUND(AB135-H135,2)</f>
        <v>0</v>
      </c>
      <c r="S135" s="42" t="n">
        <f aca="false">ROUND(AC135-I135,2)</f>
        <v>0</v>
      </c>
      <c r="T135" s="42" t="n">
        <f aca="false">ROUND(AD135-J135,2)</f>
        <v>0</v>
      </c>
      <c r="U135" s="42" t="n">
        <f aca="false">ROUND(AE135-K135,2)</f>
        <v>0</v>
      </c>
      <c r="V135" s="42" t="n">
        <f aca="false">ROUND(AF135-L135,2)</f>
        <v>0</v>
      </c>
      <c r="W135" s="42" t="n">
        <f aca="false">ROUND(AG135-M135,2)</f>
        <v>0</v>
      </c>
      <c r="X135" s="42" t="n">
        <f aca="false">ROUND(AH135-N135,2)</f>
        <v>0</v>
      </c>
      <c r="Y135" s="42" t="n">
        <f aca="false">ROUND(AI135-O135,2)</f>
        <v>0</v>
      </c>
      <c r="Z135" s="56" t="n">
        <f aca="false">ROUND(P134*(1+N(Debts!$D$5)/12),2)</f>
        <v>0</v>
      </c>
      <c r="AA135" s="56" t="n">
        <f aca="false">ROUND(Q134*(1+N(Debts!$D$6)/12),2)</f>
        <v>0</v>
      </c>
      <c r="AB135" s="56" t="n">
        <f aca="false">ROUND(R134*(1+N(Debts!$D$7)/12),2)</f>
        <v>0</v>
      </c>
      <c r="AC135" s="56" t="n">
        <f aca="false">ROUND(S134*(1+N(Debts!$D$8)/12),2)</f>
        <v>0</v>
      </c>
      <c r="AD135" s="56" t="n">
        <f aca="false">ROUND(T134*(1+N(Debts!$D$9)/12),2)</f>
        <v>0</v>
      </c>
      <c r="AE135" s="56" t="n">
        <f aca="false">ROUND(U134*(1+N(Debts!$D$10)/12),2)</f>
        <v>0</v>
      </c>
      <c r="AF135" s="56" t="n">
        <f aca="false">ROUND(V134*(1+N(Debts!$D$11)/12),2)</f>
        <v>0</v>
      </c>
      <c r="AG135" s="56" t="n">
        <f aca="false">ROUND(W134*(1+N(Debts!$D$12)/12),2)</f>
        <v>0</v>
      </c>
      <c r="AH135" s="56" t="n">
        <f aca="false">ROUND(X134*(1+N(Debts!$D$13)/12),2)</f>
        <v>0</v>
      </c>
      <c r="AI135" s="56" t="n">
        <f aca="false">ROUND(Y134*(1+N(Debts!$D$14)/12),2)</f>
        <v>0</v>
      </c>
      <c r="AJ135" s="56" t="n">
        <f aca="false">MIN(Z135,MAX(0,N(Debts!$E$5)))</f>
        <v>0</v>
      </c>
      <c r="AK135" s="56" t="n">
        <f aca="false">MIN(AA135,MAX(0,N(Debts!$E$6)))</f>
        <v>0</v>
      </c>
      <c r="AL135" s="56" t="n">
        <f aca="false">MIN(AB135,MAX(0,N(Debts!$E$7)))</f>
        <v>0</v>
      </c>
      <c r="AM135" s="56" t="n">
        <f aca="false">MIN(AC135,MAX(0,N(Debts!$E$8)))</f>
        <v>0</v>
      </c>
      <c r="AN135" s="56" t="n">
        <f aca="false">MIN(AD135,MAX(0,N(Debts!$E$9)))</f>
        <v>0</v>
      </c>
      <c r="AO135" s="56" t="n">
        <f aca="false">MIN(AE135,MAX(0,N(Debts!$E$10)))</f>
        <v>0</v>
      </c>
      <c r="AP135" s="56" t="n">
        <f aca="false">MIN(AF135,MAX(0,N(Debts!$E$11)))</f>
        <v>0</v>
      </c>
      <c r="AQ135" s="56" t="n">
        <f aca="false">MIN(AG135,MAX(0,N(Debts!$E$12)))</f>
        <v>0</v>
      </c>
      <c r="AR135" s="56" t="n">
        <f aca="false">MIN(AH135,MAX(0,N(Debts!$E$13)))</f>
        <v>0</v>
      </c>
      <c r="AS135" s="56" t="n">
        <f aca="false">MIN(AI135,MAX(0,N(Debts!$E$14)))</f>
        <v>0</v>
      </c>
    </row>
    <row r="136" customFormat="false" ht="15" hidden="false" customHeight="false" outlineLevel="0" collapsed="false">
      <c r="A136" s="53" t="n">
        <v>132</v>
      </c>
      <c r="B136" s="54" t="n">
        <f aca="false">EDATE('Start Here'!$B$8,131)</f>
        <v>50314</v>
      </c>
      <c r="C136" s="42" t="n">
        <f aca="false">SUM(F136:O136)</f>
        <v>0</v>
      </c>
      <c r="D136" s="42" t="n">
        <f aca="false">ROUND(SUM($Z136:$AI136)-SUM(P135:Y135),2)</f>
        <v>0</v>
      </c>
      <c r="E136" s="55" t="n">
        <f aca="false">SUM(P136:Y136)</f>
        <v>0</v>
      </c>
      <c r="F136" s="42" t="n">
        <f aca="false">AJ136+MIN(Z136-AJ136,MAX(0,'Start Here'!$B$10-SUM($AJ136:$AS136)-SUMPRODUCT(($Z$3:$AI$3&lt;Z$3)*($Z136:$AI136-$AJ136:$AS136))))</f>
        <v>0</v>
      </c>
      <c r="G136" s="42" t="n">
        <f aca="false">AK136+MIN(AA136-AK136,MAX(0,'Start Here'!$B$10-SUM($AJ136:$AS136)-SUMPRODUCT(($Z$3:$AI$3&lt;AA$3)*($Z136:$AI136-$AJ136:$AS136))))</f>
        <v>0</v>
      </c>
      <c r="H136" s="42" t="n">
        <f aca="false">AL136+MIN(AB136-AL136,MAX(0,'Start Here'!$B$10-SUM($AJ136:$AS136)-SUMPRODUCT(($Z$3:$AI$3&lt;AB$3)*($Z136:$AI136-$AJ136:$AS136))))</f>
        <v>0</v>
      </c>
      <c r="I136" s="42" t="n">
        <f aca="false">AM136+MIN(AC136-AM136,MAX(0,'Start Here'!$B$10-SUM($AJ136:$AS136)-SUMPRODUCT(($Z$3:$AI$3&lt;AC$3)*($Z136:$AI136-$AJ136:$AS136))))</f>
        <v>0</v>
      </c>
      <c r="J136" s="42" t="n">
        <f aca="false">AN136+MIN(AD136-AN136,MAX(0,'Start Here'!$B$10-SUM($AJ136:$AS136)-SUMPRODUCT(($Z$3:$AI$3&lt;AD$3)*($Z136:$AI136-$AJ136:$AS136))))</f>
        <v>0</v>
      </c>
      <c r="K136" s="42" t="n">
        <f aca="false">AO136+MIN(AE136-AO136,MAX(0,'Start Here'!$B$10-SUM($AJ136:$AS136)-SUMPRODUCT(($Z$3:$AI$3&lt;AE$3)*($Z136:$AI136-$AJ136:$AS136))))</f>
        <v>0</v>
      </c>
      <c r="L136" s="42" t="n">
        <f aca="false">AP136+MIN(AF136-AP136,MAX(0,'Start Here'!$B$10-SUM($AJ136:$AS136)-SUMPRODUCT(($Z$3:$AI$3&lt;AF$3)*($Z136:$AI136-$AJ136:$AS136))))</f>
        <v>0</v>
      </c>
      <c r="M136" s="42" t="n">
        <f aca="false">AQ136+MIN(AG136-AQ136,MAX(0,'Start Here'!$B$10-SUM($AJ136:$AS136)-SUMPRODUCT(($Z$3:$AI$3&lt;AG$3)*($Z136:$AI136-$AJ136:$AS136))))</f>
        <v>0</v>
      </c>
      <c r="N136" s="42" t="n">
        <f aca="false">AR136+MIN(AH136-AR136,MAX(0,'Start Here'!$B$10-SUM($AJ136:$AS136)-SUMPRODUCT(($Z$3:$AI$3&lt;AH$3)*($Z136:$AI136-$AJ136:$AS136))))</f>
        <v>0</v>
      </c>
      <c r="O136" s="42" t="n">
        <f aca="false">AS136+MIN(AI136-AS136,MAX(0,'Start Here'!$B$10-SUM($AJ136:$AS136)-SUMPRODUCT(($Z$3:$AI$3&lt;AI$3)*($Z136:$AI136-$AJ136:$AS136))))</f>
        <v>0</v>
      </c>
      <c r="P136" s="42" t="n">
        <f aca="false">ROUND(Z136-F136,2)</f>
        <v>0</v>
      </c>
      <c r="Q136" s="42" t="n">
        <f aca="false">ROUND(AA136-G136,2)</f>
        <v>0</v>
      </c>
      <c r="R136" s="42" t="n">
        <f aca="false">ROUND(AB136-H136,2)</f>
        <v>0</v>
      </c>
      <c r="S136" s="42" t="n">
        <f aca="false">ROUND(AC136-I136,2)</f>
        <v>0</v>
      </c>
      <c r="T136" s="42" t="n">
        <f aca="false">ROUND(AD136-J136,2)</f>
        <v>0</v>
      </c>
      <c r="U136" s="42" t="n">
        <f aca="false">ROUND(AE136-K136,2)</f>
        <v>0</v>
      </c>
      <c r="V136" s="42" t="n">
        <f aca="false">ROUND(AF136-L136,2)</f>
        <v>0</v>
      </c>
      <c r="W136" s="42" t="n">
        <f aca="false">ROUND(AG136-M136,2)</f>
        <v>0</v>
      </c>
      <c r="X136" s="42" t="n">
        <f aca="false">ROUND(AH136-N136,2)</f>
        <v>0</v>
      </c>
      <c r="Y136" s="42" t="n">
        <f aca="false">ROUND(AI136-O136,2)</f>
        <v>0</v>
      </c>
      <c r="Z136" s="56" t="n">
        <f aca="false">ROUND(P135*(1+N(Debts!$D$5)/12),2)</f>
        <v>0</v>
      </c>
      <c r="AA136" s="56" t="n">
        <f aca="false">ROUND(Q135*(1+N(Debts!$D$6)/12),2)</f>
        <v>0</v>
      </c>
      <c r="AB136" s="56" t="n">
        <f aca="false">ROUND(R135*(1+N(Debts!$D$7)/12),2)</f>
        <v>0</v>
      </c>
      <c r="AC136" s="56" t="n">
        <f aca="false">ROUND(S135*(1+N(Debts!$D$8)/12),2)</f>
        <v>0</v>
      </c>
      <c r="AD136" s="56" t="n">
        <f aca="false">ROUND(T135*(1+N(Debts!$D$9)/12),2)</f>
        <v>0</v>
      </c>
      <c r="AE136" s="56" t="n">
        <f aca="false">ROUND(U135*(1+N(Debts!$D$10)/12),2)</f>
        <v>0</v>
      </c>
      <c r="AF136" s="56" t="n">
        <f aca="false">ROUND(V135*(1+N(Debts!$D$11)/12),2)</f>
        <v>0</v>
      </c>
      <c r="AG136" s="56" t="n">
        <f aca="false">ROUND(W135*(1+N(Debts!$D$12)/12),2)</f>
        <v>0</v>
      </c>
      <c r="AH136" s="56" t="n">
        <f aca="false">ROUND(X135*(1+N(Debts!$D$13)/12),2)</f>
        <v>0</v>
      </c>
      <c r="AI136" s="56" t="n">
        <f aca="false">ROUND(Y135*(1+N(Debts!$D$14)/12),2)</f>
        <v>0</v>
      </c>
      <c r="AJ136" s="56" t="n">
        <f aca="false">MIN(Z136,MAX(0,N(Debts!$E$5)))</f>
        <v>0</v>
      </c>
      <c r="AK136" s="56" t="n">
        <f aca="false">MIN(AA136,MAX(0,N(Debts!$E$6)))</f>
        <v>0</v>
      </c>
      <c r="AL136" s="56" t="n">
        <f aca="false">MIN(AB136,MAX(0,N(Debts!$E$7)))</f>
        <v>0</v>
      </c>
      <c r="AM136" s="56" t="n">
        <f aca="false">MIN(AC136,MAX(0,N(Debts!$E$8)))</f>
        <v>0</v>
      </c>
      <c r="AN136" s="56" t="n">
        <f aca="false">MIN(AD136,MAX(0,N(Debts!$E$9)))</f>
        <v>0</v>
      </c>
      <c r="AO136" s="56" t="n">
        <f aca="false">MIN(AE136,MAX(0,N(Debts!$E$10)))</f>
        <v>0</v>
      </c>
      <c r="AP136" s="56" t="n">
        <f aca="false">MIN(AF136,MAX(0,N(Debts!$E$11)))</f>
        <v>0</v>
      </c>
      <c r="AQ136" s="56" t="n">
        <f aca="false">MIN(AG136,MAX(0,N(Debts!$E$12)))</f>
        <v>0</v>
      </c>
      <c r="AR136" s="56" t="n">
        <f aca="false">MIN(AH136,MAX(0,N(Debts!$E$13)))</f>
        <v>0</v>
      </c>
      <c r="AS136" s="56" t="n">
        <f aca="false">MIN(AI136,MAX(0,N(Debts!$E$14)))</f>
        <v>0</v>
      </c>
    </row>
    <row r="137" customFormat="false" ht="15" hidden="false" customHeight="false" outlineLevel="0" collapsed="false">
      <c r="A137" s="53" t="n">
        <v>133</v>
      </c>
      <c r="B137" s="54" t="n">
        <f aca="false">EDATE('Start Here'!$B$8,132)</f>
        <v>50345</v>
      </c>
      <c r="C137" s="42" t="n">
        <f aca="false">SUM(F137:O137)</f>
        <v>0</v>
      </c>
      <c r="D137" s="42" t="n">
        <f aca="false">ROUND(SUM($Z137:$AI137)-SUM(P136:Y136),2)</f>
        <v>0</v>
      </c>
      <c r="E137" s="55" t="n">
        <f aca="false">SUM(P137:Y137)</f>
        <v>0</v>
      </c>
      <c r="F137" s="42" t="n">
        <f aca="false">AJ137+MIN(Z137-AJ137,MAX(0,'Start Here'!$B$10-SUM($AJ137:$AS137)-SUMPRODUCT(($Z$3:$AI$3&lt;Z$3)*($Z137:$AI137-$AJ137:$AS137))))</f>
        <v>0</v>
      </c>
      <c r="G137" s="42" t="n">
        <f aca="false">AK137+MIN(AA137-AK137,MAX(0,'Start Here'!$B$10-SUM($AJ137:$AS137)-SUMPRODUCT(($Z$3:$AI$3&lt;AA$3)*($Z137:$AI137-$AJ137:$AS137))))</f>
        <v>0</v>
      </c>
      <c r="H137" s="42" t="n">
        <f aca="false">AL137+MIN(AB137-AL137,MAX(0,'Start Here'!$B$10-SUM($AJ137:$AS137)-SUMPRODUCT(($Z$3:$AI$3&lt;AB$3)*($Z137:$AI137-$AJ137:$AS137))))</f>
        <v>0</v>
      </c>
      <c r="I137" s="42" t="n">
        <f aca="false">AM137+MIN(AC137-AM137,MAX(0,'Start Here'!$B$10-SUM($AJ137:$AS137)-SUMPRODUCT(($Z$3:$AI$3&lt;AC$3)*($Z137:$AI137-$AJ137:$AS137))))</f>
        <v>0</v>
      </c>
      <c r="J137" s="42" t="n">
        <f aca="false">AN137+MIN(AD137-AN137,MAX(0,'Start Here'!$B$10-SUM($AJ137:$AS137)-SUMPRODUCT(($Z$3:$AI$3&lt;AD$3)*($Z137:$AI137-$AJ137:$AS137))))</f>
        <v>0</v>
      </c>
      <c r="K137" s="42" t="n">
        <f aca="false">AO137+MIN(AE137-AO137,MAX(0,'Start Here'!$B$10-SUM($AJ137:$AS137)-SUMPRODUCT(($Z$3:$AI$3&lt;AE$3)*($Z137:$AI137-$AJ137:$AS137))))</f>
        <v>0</v>
      </c>
      <c r="L137" s="42" t="n">
        <f aca="false">AP137+MIN(AF137-AP137,MAX(0,'Start Here'!$B$10-SUM($AJ137:$AS137)-SUMPRODUCT(($Z$3:$AI$3&lt;AF$3)*($Z137:$AI137-$AJ137:$AS137))))</f>
        <v>0</v>
      </c>
      <c r="M137" s="42" t="n">
        <f aca="false">AQ137+MIN(AG137-AQ137,MAX(0,'Start Here'!$B$10-SUM($AJ137:$AS137)-SUMPRODUCT(($Z$3:$AI$3&lt;AG$3)*($Z137:$AI137-$AJ137:$AS137))))</f>
        <v>0</v>
      </c>
      <c r="N137" s="42" t="n">
        <f aca="false">AR137+MIN(AH137-AR137,MAX(0,'Start Here'!$B$10-SUM($AJ137:$AS137)-SUMPRODUCT(($Z$3:$AI$3&lt;AH$3)*($Z137:$AI137-$AJ137:$AS137))))</f>
        <v>0</v>
      </c>
      <c r="O137" s="42" t="n">
        <f aca="false">AS137+MIN(AI137-AS137,MAX(0,'Start Here'!$B$10-SUM($AJ137:$AS137)-SUMPRODUCT(($Z$3:$AI$3&lt;AI$3)*($Z137:$AI137-$AJ137:$AS137))))</f>
        <v>0</v>
      </c>
      <c r="P137" s="42" t="n">
        <f aca="false">ROUND(Z137-F137,2)</f>
        <v>0</v>
      </c>
      <c r="Q137" s="42" t="n">
        <f aca="false">ROUND(AA137-G137,2)</f>
        <v>0</v>
      </c>
      <c r="R137" s="42" t="n">
        <f aca="false">ROUND(AB137-H137,2)</f>
        <v>0</v>
      </c>
      <c r="S137" s="42" t="n">
        <f aca="false">ROUND(AC137-I137,2)</f>
        <v>0</v>
      </c>
      <c r="T137" s="42" t="n">
        <f aca="false">ROUND(AD137-J137,2)</f>
        <v>0</v>
      </c>
      <c r="U137" s="42" t="n">
        <f aca="false">ROUND(AE137-K137,2)</f>
        <v>0</v>
      </c>
      <c r="V137" s="42" t="n">
        <f aca="false">ROUND(AF137-L137,2)</f>
        <v>0</v>
      </c>
      <c r="W137" s="42" t="n">
        <f aca="false">ROUND(AG137-M137,2)</f>
        <v>0</v>
      </c>
      <c r="X137" s="42" t="n">
        <f aca="false">ROUND(AH137-N137,2)</f>
        <v>0</v>
      </c>
      <c r="Y137" s="42" t="n">
        <f aca="false">ROUND(AI137-O137,2)</f>
        <v>0</v>
      </c>
      <c r="Z137" s="56" t="n">
        <f aca="false">ROUND(P136*(1+N(Debts!$D$5)/12),2)</f>
        <v>0</v>
      </c>
      <c r="AA137" s="56" t="n">
        <f aca="false">ROUND(Q136*(1+N(Debts!$D$6)/12),2)</f>
        <v>0</v>
      </c>
      <c r="AB137" s="56" t="n">
        <f aca="false">ROUND(R136*(1+N(Debts!$D$7)/12),2)</f>
        <v>0</v>
      </c>
      <c r="AC137" s="56" t="n">
        <f aca="false">ROUND(S136*(1+N(Debts!$D$8)/12),2)</f>
        <v>0</v>
      </c>
      <c r="AD137" s="56" t="n">
        <f aca="false">ROUND(T136*(1+N(Debts!$D$9)/12),2)</f>
        <v>0</v>
      </c>
      <c r="AE137" s="56" t="n">
        <f aca="false">ROUND(U136*(1+N(Debts!$D$10)/12),2)</f>
        <v>0</v>
      </c>
      <c r="AF137" s="56" t="n">
        <f aca="false">ROUND(V136*(1+N(Debts!$D$11)/12),2)</f>
        <v>0</v>
      </c>
      <c r="AG137" s="56" t="n">
        <f aca="false">ROUND(W136*(1+N(Debts!$D$12)/12),2)</f>
        <v>0</v>
      </c>
      <c r="AH137" s="56" t="n">
        <f aca="false">ROUND(X136*(1+N(Debts!$D$13)/12),2)</f>
        <v>0</v>
      </c>
      <c r="AI137" s="56" t="n">
        <f aca="false">ROUND(Y136*(1+N(Debts!$D$14)/12),2)</f>
        <v>0</v>
      </c>
      <c r="AJ137" s="56" t="n">
        <f aca="false">MIN(Z137,MAX(0,N(Debts!$E$5)))</f>
        <v>0</v>
      </c>
      <c r="AK137" s="56" t="n">
        <f aca="false">MIN(AA137,MAX(0,N(Debts!$E$6)))</f>
        <v>0</v>
      </c>
      <c r="AL137" s="56" t="n">
        <f aca="false">MIN(AB137,MAX(0,N(Debts!$E$7)))</f>
        <v>0</v>
      </c>
      <c r="AM137" s="56" t="n">
        <f aca="false">MIN(AC137,MAX(0,N(Debts!$E$8)))</f>
        <v>0</v>
      </c>
      <c r="AN137" s="56" t="n">
        <f aca="false">MIN(AD137,MAX(0,N(Debts!$E$9)))</f>
        <v>0</v>
      </c>
      <c r="AO137" s="56" t="n">
        <f aca="false">MIN(AE137,MAX(0,N(Debts!$E$10)))</f>
        <v>0</v>
      </c>
      <c r="AP137" s="56" t="n">
        <f aca="false">MIN(AF137,MAX(0,N(Debts!$E$11)))</f>
        <v>0</v>
      </c>
      <c r="AQ137" s="56" t="n">
        <f aca="false">MIN(AG137,MAX(0,N(Debts!$E$12)))</f>
        <v>0</v>
      </c>
      <c r="AR137" s="56" t="n">
        <f aca="false">MIN(AH137,MAX(0,N(Debts!$E$13)))</f>
        <v>0</v>
      </c>
      <c r="AS137" s="56" t="n">
        <f aca="false">MIN(AI137,MAX(0,N(Debts!$E$14)))</f>
        <v>0</v>
      </c>
    </row>
    <row r="138" customFormat="false" ht="15" hidden="false" customHeight="false" outlineLevel="0" collapsed="false">
      <c r="A138" s="53" t="n">
        <v>134</v>
      </c>
      <c r="B138" s="54" t="n">
        <f aca="false">EDATE('Start Here'!$B$8,133)</f>
        <v>50375</v>
      </c>
      <c r="C138" s="42" t="n">
        <f aca="false">SUM(F138:O138)</f>
        <v>0</v>
      </c>
      <c r="D138" s="42" t="n">
        <f aca="false">ROUND(SUM($Z138:$AI138)-SUM(P137:Y137),2)</f>
        <v>0</v>
      </c>
      <c r="E138" s="55" t="n">
        <f aca="false">SUM(P138:Y138)</f>
        <v>0</v>
      </c>
      <c r="F138" s="42" t="n">
        <f aca="false">AJ138+MIN(Z138-AJ138,MAX(0,'Start Here'!$B$10-SUM($AJ138:$AS138)-SUMPRODUCT(($Z$3:$AI$3&lt;Z$3)*($Z138:$AI138-$AJ138:$AS138))))</f>
        <v>0</v>
      </c>
      <c r="G138" s="42" t="n">
        <f aca="false">AK138+MIN(AA138-AK138,MAX(0,'Start Here'!$B$10-SUM($AJ138:$AS138)-SUMPRODUCT(($Z$3:$AI$3&lt;AA$3)*($Z138:$AI138-$AJ138:$AS138))))</f>
        <v>0</v>
      </c>
      <c r="H138" s="42" t="n">
        <f aca="false">AL138+MIN(AB138-AL138,MAX(0,'Start Here'!$B$10-SUM($AJ138:$AS138)-SUMPRODUCT(($Z$3:$AI$3&lt;AB$3)*($Z138:$AI138-$AJ138:$AS138))))</f>
        <v>0</v>
      </c>
      <c r="I138" s="42" t="n">
        <f aca="false">AM138+MIN(AC138-AM138,MAX(0,'Start Here'!$B$10-SUM($AJ138:$AS138)-SUMPRODUCT(($Z$3:$AI$3&lt;AC$3)*($Z138:$AI138-$AJ138:$AS138))))</f>
        <v>0</v>
      </c>
      <c r="J138" s="42" t="n">
        <f aca="false">AN138+MIN(AD138-AN138,MAX(0,'Start Here'!$B$10-SUM($AJ138:$AS138)-SUMPRODUCT(($Z$3:$AI$3&lt;AD$3)*($Z138:$AI138-$AJ138:$AS138))))</f>
        <v>0</v>
      </c>
      <c r="K138" s="42" t="n">
        <f aca="false">AO138+MIN(AE138-AO138,MAX(0,'Start Here'!$B$10-SUM($AJ138:$AS138)-SUMPRODUCT(($Z$3:$AI$3&lt;AE$3)*($Z138:$AI138-$AJ138:$AS138))))</f>
        <v>0</v>
      </c>
      <c r="L138" s="42" t="n">
        <f aca="false">AP138+MIN(AF138-AP138,MAX(0,'Start Here'!$B$10-SUM($AJ138:$AS138)-SUMPRODUCT(($Z$3:$AI$3&lt;AF$3)*($Z138:$AI138-$AJ138:$AS138))))</f>
        <v>0</v>
      </c>
      <c r="M138" s="42" t="n">
        <f aca="false">AQ138+MIN(AG138-AQ138,MAX(0,'Start Here'!$B$10-SUM($AJ138:$AS138)-SUMPRODUCT(($Z$3:$AI$3&lt;AG$3)*($Z138:$AI138-$AJ138:$AS138))))</f>
        <v>0</v>
      </c>
      <c r="N138" s="42" t="n">
        <f aca="false">AR138+MIN(AH138-AR138,MAX(0,'Start Here'!$B$10-SUM($AJ138:$AS138)-SUMPRODUCT(($Z$3:$AI$3&lt;AH$3)*($Z138:$AI138-$AJ138:$AS138))))</f>
        <v>0</v>
      </c>
      <c r="O138" s="42" t="n">
        <f aca="false">AS138+MIN(AI138-AS138,MAX(0,'Start Here'!$B$10-SUM($AJ138:$AS138)-SUMPRODUCT(($Z$3:$AI$3&lt;AI$3)*($Z138:$AI138-$AJ138:$AS138))))</f>
        <v>0</v>
      </c>
      <c r="P138" s="42" t="n">
        <f aca="false">ROUND(Z138-F138,2)</f>
        <v>0</v>
      </c>
      <c r="Q138" s="42" t="n">
        <f aca="false">ROUND(AA138-G138,2)</f>
        <v>0</v>
      </c>
      <c r="R138" s="42" t="n">
        <f aca="false">ROUND(AB138-H138,2)</f>
        <v>0</v>
      </c>
      <c r="S138" s="42" t="n">
        <f aca="false">ROUND(AC138-I138,2)</f>
        <v>0</v>
      </c>
      <c r="T138" s="42" t="n">
        <f aca="false">ROUND(AD138-J138,2)</f>
        <v>0</v>
      </c>
      <c r="U138" s="42" t="n">
        <f aca="false">ROUND(AE138-K138,2)</f>
        <v>0</v>
      </c>
      <c r="V138" s="42" t="n">
        <f aca="false">ROUND(AF138-L138,2)</f>
        <v>0</v>
      </c>
      <c r="W138" s="42" t="n">
        <f aca="false">ROUND(AG138-M138,2)</f>
        <v>0</v>
      </c>
      <c r="X138" s="42" t="n">
        <f aca="false">ROUND(AH138-N138,2)</f>
        <v>0</v>
      </c>
      <c r="Y138" s="42" t="n">
        <f aca="false">ROUND(AI138-O138,2)</f>
        <v>0</v>
      </c>
      <c r="Z138" s="56" t="n">
        <f aca="false">ROUND(P137*(1+N(Debts!$D$5)/12),2)</f>
        <v>0</v>
      </c>
      <c r="AA138" s="56" t="n">
        <f aca="false">ROUND(Q137*(1+N(Debts!$D$6)/12),2)</f>
        <v>0</v>
      </c>
      <c r="AB138" s="56" t="n">
        <f aca="false">ROUND(R137*(1+N(Debts!$D$7)/12),2)</f>
        <v>0</v>
      </c>
      <c r="AC138" s="56" t="n">
        <f aca="false">ROUND(S137*(1+N(Debts!$D$8)/12),2)</f>
        <v>0</v>
      </c>
      <c r="AD138" s="56" t="n">
        <f aca="false">ROUND(T137*(1+N(Debts!$D$9)/12),2)</f>
        <v>0</v>
      </c>
      <c r="AE138" s="56" t="n">
        <f aca="false">ROUND(U137*(1+N(Debts!$D$10)/12),2)</f>
        <v>0</v>
      </c>
      <c r="AF138" s="56" t="n">
        <f aca="false">ROUND(V137*(1+N(Debts!$D$11)/12),2)</f>
        <v>0</v>
      </c>
      <c r="AG138" s="56" t="n">
        <f aca="false">ROUND(W137*(1+N(Debts!$D$12)/12),2)</f>
        <v>0</v>
      </c>
      <c r="AH138" s="56" t="n">
        <f aca="false">ROUND(X137*(1+N(Debts!$D$13)/12),2)</f>
        <v>0</v>
      </c>
      <c r="AI138" s="56" t="n">
        <f aca="false">ROUND(Y137*(1+N(Debts!$D$14)/12),2)</f>
        <v>0</v>
      </c>
      <c r="AJ138" s="56" t="n">
        <f aca="false">MIN(Z138,MAX(0,N(Debts!$E$5)))</f>
        <v>0</v>
      </c>
      <c r="AK138" s="56" t="n">
        <f aca="false">MIN(AA138,MAX(0,N(Debts!$E$6)))</f>
        <v>0</v>
      </c>
      <c r="AL138" s="56" t="n">
        <f aca="false">MIN(AB138,MAX(0,N(Debts!$E$7)))</f>
        <v>0</v>
      </c>
      <c r="AM138" s="56" t="n">
        <f aca="false">MIN(AC138,MAX(0,N(Debts!$E$8)))</f>
        <v>0</v>
      </c>
      <c r="AN138" s="56" t="n">
        <f aca="false">MIN(AD138,MAX(0,N(Debts!$E$9)))</f>
        <v>0</v>
      </c>
      <c r="AO138" s="56" t="n">
        <f aca="false">MIN(AE138,MAX(0,N(Debts!$E$10)))</f>
        <v>0</v>
      </c>
      <c r="AP138" s="56" t="n">
        <f aca="false">MIN(AF138,MAX(0,N(Debts!$E$11)))</f>
        <v>0</v>
      </c>
      <c r="AQ138" s="56" t="n">
        <f aca="false">MIN(AG138,MAX(0,N(Debts!$E$12)))</f>
        <v>0</v>
      </c>
      <c r="AR138" s="56" t="n">
        <f aca="false">MIN(AH138,MAX(0,N(Debts!$E$13)))</f>
        <v>0</v>
      </c>
      <c r="AS138" s="56" t="n">
        <f aca="false">MIN(AI138,MAX(0,N(Debts!$E$14)))</f>
        <v>0</v>
      </c>
    </row>
    <row r="139" customFormat="false" ht="15" hidden="false" customHeight="false" outlineLevel="0" collapsed="false">
      <c r="A139" s="53" t="n">
        <v>135</v>
      </c>
      <c r="B139" s="54" t="n">
        <f aca="false">EDATE('Start Here'!$B$8,134)</f>
        <v>50406</v>
      </c>
      <c r="C139" s="42" t="n">
        <f aca="false">SUM(F139:O139)</f>
        <v>0</v>
      </c>
      <c r="D139" s="42" t="n">
        <f aca="false">ROUND(SUM($Z139:$AI139)-SUM(P138:Y138),2)</f>
        <v>0</v>
      </c>
      <c r="E139" s="55" t="n">
        <f aca="false">SUM(P139:Y139)</f>
        <v>0</v>
      </c>
      <c r="F139" s="42" t="n">
        <f aca="false">AJ139+MIN(Z139-AJ139,MAX(0,'Start Here'!$B$10-SUM($AJ139:$AS139)-SUMPRODUCT(($Z$3:$AI$3&lt;Z$3)*($Z139:$AI139-$AJ139:$AS139))))</f>
        <v>0</v>
      </c>
      <c r="G139" s="42" t="n">
        <f aca="false">AK139+MIN(AA139-AK139,MAX(0,'Start Here'!$B$10-SUM($AJ139:$AS139)-SUMPRODUCT(($Z$3:$AI$3&lt;AA$3)*($Z139:$AI139-$AJ139:$AS139))))</f>
        <v>0</v>
      </c>
      <c r="H139" s="42" t="n">
        <f aca="false">AL139+MIN(AB139-AL139,MAX(0,'Start Here'!$B$10-SUM($AJ139:$AS139)-SUMPRODUCT(($Z$3:$AI$3&lt;AB$3)*($Z139:$AI139-$AJ139:$AS139))))</f>
        <v>0</v>
      </c>
      <c r="I139" s="42" t="n">
        <f aca="false">AM139+MIN(AC139-AM139,MAX(0,'Start Here'!$B$10-SUM($AJ139:$AS139)-SUMPRODUCT(($Z$3:$AI$3&lt;AC$3)*($Z139:$AI139-$AJ139:$AS139))))</f>
        <v>0</v>
      </c>
      <c r="J139" s="42" t="n">
        <f aca="false">AN139+MIN(AD139-AN139,MAX(0,'Start Here'!$B$10-SUM($AJ139:$AS139)-SUMPRODUCT(($Z$3:$AI$3&lt;AD$3)*($Z139:$AI139-$AJ139:$AS139))))</f>
        <v>0</v>
      </c>
      <c r="K139" s="42" t="n">
        <f aca="false">AO139+MIN(AE139-AO139,MAX(0,'Start Here'!$B$10-SUM($AJ139:$AS139)-SUMPRODUCT(($Z$3:$AI$3&lt;AE$3)*($Z139:$AI139-$AJ139:$AS139))))</f>
        <v>0</v>
      </c>
      <c r="L139" s="42" t="n">
        <f aca="false">AP139+MIN(AF139-AP139,MAX(0,'Start Here'!$B$10-SUM($AJ139:$AS139)-SUMPRODUCT(($Z$3:$AI$3&lt;AF$3)*($Z139:$AI139-$AJ139:$AS139))))</f>
        <v>0</v>
      </c>
      <c r="M139" s="42" t="n">
        <f aca="false">AQ139+MIN(AG139-AQ139,MAX(0,'Start Here'!$B$10-SUM($AJ139:$AS139)-SUMPRODUCT(($Z$3:$AI$3&lt;AG$3)*($Z139:$AI139-$AJ139:$AS139))))</f>
        <v>0</v>
      </c>
      <c r="N139" s="42" t="n">
        <f aca="false">AR139+MIN(AH139-AR139,MAX(0,'Start Here'!$B$10-SUM($AJ139:$AS139)-SUMPRODUCT(($Z$3:$AI$3&lt;AH$3)*($Z139:$AI139-$AJ139:$AS139))))</f>
        <v>0</v>
      </c>
      <c r="O139" s="42" t="n">
        <f aca="false">AS139+MIN(AI139-AS139,MAX(0,'Start Here'!$B$10-SUM($AJ139:$AS139)-SUMPRODUCT(($Z$3:$AI$3&lt;AI$3)*($Z139:$AI139-$AJ139:$AS139))))</f>
        <v>0</v>
      </c>
      <c r="P139" s="42" t="n">
        <f aca="false">ROUND(Z139-F139,2)</f>
        <v>0</v>
      </c>
      <c r="Q139" s="42" t="n">
        <f aca="false">ROUND(AA139-G139,2)</f>
        <v>0</v>
      </c>
      <c r="R139" s="42" t="n">
        <f aca="false">ROUND(AB139-H139,2)</f>
        <v>0</v>
      </c>
      <c r="S139" s="42" t="n">
        <f aca="false">ROUND(AC139-I139,2)</f>
        <v>0</v>
      </c>
      <c r="T139" s="42" t="n">
        <f aca="false">ROUND(AD139-J139,2)</f>
        <v>0</v>
      </c>
      <c r="U139" s="42" t="n">
        <f aca="false">ROUND(AE139-K139,2)</f>
        <v>0</v>
      </c>
      <c r="V139" s="42" t="n">
        <f aca="false">ROUND(AF139-L139,2)</f>
        <v>0</v>
      </c>
      <c r="W139" s="42" t="n">
        <f aca="false">ROUND(AG139-M139,2)</f>
        <v>0</v>
      </c>
      <c r="X139" s="42" t="n">
        <f aca="false">ROUND(AH139-N139,2)</f>
        <v>0</v>
      </c>
      <c r="Y139" s="42" t="n">
        <f aca="false">ROUND(AI139-O139,2)</f>
        <v>0</v>
      </c>
      <c r="Z139" s="56" t="n">
        <f aca="false">ROUND(P138*(1+N(Debts!$D$5)/12),2)</f>
        <v>0</v>
      </c>
      <c r="AA139" s="56" t="n">
        <f aca="false">ROUND(Q138*(1+N(Debts!$D$6)/12),2)</f>
        <v>0</v>
      </c>
      <c r="AB139" s="56" t="n">
        <f aca="false">ROUND(R138*(1+N(Debts!$D$7)/12),2)</f>
        <v>0</v>
      </c>
      <c r="AC139" s="56" t="n">
        <f aca="false">ROUND(S138*(1+N(Debts!$D$8)/12),2)</f>
        <v>0</v>
      </c>
      <c r="AD139" s="56" t="n">
        <f aca="false">ROUND(T138*(1+N(Debts!$D$9)/12),2)</f>
        <v>0</v>
      </c>
      <c r="AE139" s="56" t="n">
        <f aca="false">ROUND(U138*(1+N(Debts!$D$10)/12),2)</f>
        <v>0</v>
      </c>
      <c r="AF139" s="56" t="n">
        <f aca="false">ROUND(V138*(1+N(Debts!$D$11)/12),2)</f>
        <v>0</v>
      </c>
      <c r="AG139" s="56" t="n">
        <f aca="false">ROUND(W138*(1+N(Debts!$D$12)/12),2)</f>
        <v>0</v>
      </c>
      <c r="AH139" s="56" t="n">
        <f aca="false">ROUND(X138*(1+N(Debts!$D$13)/12),2)</f>
        <v>0</v>
      </c>
      <c r="AI139" s="56" t="n">
        <f aca="false">ROUND(Y138*(1+N(Debts!$D$14)/12),2)</f>
        <v>0</v>
      </c>
      <c r="AJ139" s="56" t="n">
        <f aca="false">MIN(Z139,MAX(0,N(Debts!$E$5)))</f>
        <v>0</v>
      </c>
      <c r="AK139" s="56" t="n">
        <f aca="false">MIN(AA139,MAX(0,N(Debts!$E$6)))</f>
        <v>0</v>
      </c>
      <c r="AL139" s="56" t="n">
        <f aca="false">MIN(AB139,MAX(0,N(Debts!$E$7)))</f>
        <v>0</v>
      </c>
      <c r="AM139" s="56" t="n">
        <f aca="false">MIN(AC139,MAX(0,N(Debts!$E$8)))</f>
        <v>0</v>
      </c>
      <c r="AN139" s="56" t="n">
        <f aca="false">MIN(AD139,MAX(0,N(Debts!$E$9)))</f>
        <v>0</v>
      </c>
      <c r="AO139" s="56" t="n">
        <f aca="false">MIN(AE139,MAX(0,N(Debts!$E$10)))</f>
        <v>0</v>
      </c>
      <c r="AP139" s="56" t="n">
        <f aca="false">MIN(AF139,MAX(0,N(Debts!$E$11)))</f>
        <v>0</v>
      </c>
      <c r="AQ139" s="56" t="n">
        <f aca="false">MIN(AG139,MAX(0,N(Debts!$E$12)))</f>
        <v>0</v>
      </c>
      <c r="AR139" s="56" t="n">
        <f aca="false">MIN(AH139,MAX(0,N(Debts!$E$13)))</f>
        <v>0</v>
      </c>
      <c r="AS139" s="56" t="n">
        <f aca="false">MIN(AI139,MAX(0,N(Debts!$E$14)))</f>
        <v>0</v>
      </c>
    </row>
    <row r="140" customFormat="false" ht="15" hidden="false" customHeight="false" outlineLevel="0" collapsed="false">
      <c r="A140" s="53" t="n">
        <v>136</v>
      </c>
      <c r="B140" s="54" t="n">
        <f aca="false">EDATE('Start Here'!$B$8,135)</f>
        <v>50437</v>
      </c>
      <c r="C140" s="42" t="n">
        <f aca="false">SUM(F140:O140)</f>
        <v>0</v>
      </c>
      <c r="D140" s="42" t="n">
        <f aca="false">ROUND(SUM($Z140:$AI140)-SUM(P139:Y139),2)</f>
        <v>0</v>
      </c>
      <c r="E140" s="55" t="n">
        <f aca="false">SUM(P140:Y140)</f>
        <v>0</v>
      </c>
      <c r="F140" s="42" t="n">
        <f aca="false">AJ140+MIN(Z140-AJ140,MAX(0,'Start Here'!$B$10-SUM($AJ140:$AS140)-SUMPRODUCT(($Z$3:$AI$3&lt;Z$3)*($Z140:$AI140-$AJ140:$AS140))))</f>
        <v>0</v>
      </c>
      <c r="G140" s="42" t="n">
        <f aca="false">AK140+MIN(AA140-AK140,MAX(0,'Start Here'!$B$10-SUM($AJ140:$AS140)-SUMPRODUCT(($Z$3:$AI$3&lt;AA$3)*($Z140:$AI140-$AJ140:$AS140))))</f>
        <v>0</v>
      </c>
      <c r="H140" s="42" t="n">
        <f aca="false">AL140+MIN(AB140-AL140,MAX(0,'Start Here'!$B$10-SUM($AJ140:$AS140)-SUMPRODUCT(($Z$3:$AI$3&lt;AB$3)*($Z140:$AI140-$AJ140:$AS140))))</f>
        <v>0</v>
      </c>
      <c r="I140" s="42" t="n">
        <f aca="false">AM140+MIN(AC140-AM140,MAX(0,'Start Here'!$B$10-SUM($AJ140:$AS140)-SUMPRODUCT(($Z$3:$AI$3&lt;AC$3)*($Z140:$AI140-$AJ140:$AS140))))</f>
        <v>0</v>
      </c>
      <c r="J140" s="42" t="n">
        <f aca="false">AN140+MIN(AD140-AN140,MAX(0,'Start Here'!$B$10-SUM($AJ140:$AS140)-SUMPRODUCT(($Z$3:$AI$3&lt;AD$3)*($Z140:$AI140-$AJ140:$AS140))))</f>
        <v>0</v>
      </c>
      <c r="K140" s="42" t="n">
        <f aca="false">AO140+MIN(AE140-AO140,MAX(0,'Start Here'!$B$10-SUM($AJ140:$AS140)-SUMPRODUCT(($Z$3:$AI$3&lt;AE$3)*($Z140:$AI140-$AJ140:$AS140))))</f>
        <v>0</v>
      </c>
      <c r="L140" s="42" t="n">
        <f aca="false">AP140+MIN(AF140-AP140,MAX(0,'Start Here'!$B$10-SUM($AJ140:$AS140)-SUMPRODUCT(($Z$3:$AI$3&lt;AF$3)*($Z140:$AI140-$AJ140:$AS140))))</f>
        <v>0</v>
      </c>
      <c r="M140" s="42" t="n">
        <f aca="false">AQ140+MIN(AG140-AQ140,MAX(0,'Start Here'!$B$10-SUM($AJ140:$AS140)-SUMPRODUCT(($Z$3:$AI$3&lt;AG$3)*($Z140:$AI140-$AJ140:$AS140))))</f>
        <v>0</v>
      </c>
      <c r="N140" s="42" t="n">
        <f aca="false">AR140+MIN(AH140-AR140,MAX(0,'Start Here'!$B$10-SUM($AJ140:$AS140)-SUMPRODUCT(($Z$3:$AI$3&lt;AH$3)*($Z140:$AI140-$AJ140:$AS140))))</f>
        <v>0</v>
      </c>
      <c r="O140" s="42" t="n">
        <f aca="false">AS140+MIN(AI140-AS140,MAX(0,'Start Here'!$B$10-SUM($AJ140:$AS140)-SUMPRODUCT(($Z$3:$AI$3&lt;AI$3)*($Z140:$AI140-$AJ140:$AS140))))</f>
        <v>0</v>
      </c>
      <c r="P140" s="42" t="n">
        <f aca="false">ROUND(Z140-F140,2)</f>
        <v>0</v>
      </c>
      <c r="Q140" s="42" t="n">
        <f aca="false">ROUND(AA140-G140,2)</f>
        <v>0</v>
      </c>
      <c r="R140" s="42" t="n">
        <f aca="false">ROUND(AB140-H140,2)</f>
        <v>0</v>
      </c>
      <c r="S140" s="42" t="n">
        <f aca="false">ROUND(AC140-I140,2)</f>
        <v>0</v>
      </c>
      <c r="T140" s="42" t="n">
        <f aca="false">ROUND(AD140-J140,2)</f>
        <v>0</v>
      </c>
      <c r="U140" s="42" t="n">
        <f aca="false">ROUND(AE140-K140,2)</f>
        <v>0</v>
      </c>
      <c r="V140" s="42" t="n">
        <f aca="false">ROUND(AF140-L140,2)</f>
        <v>0</v>
      </c>
      <c r="W140" s="42" t="n">
        <f aca="false">ROUND(AG140-M140,2)</f>
        <v>0</v>
      </c>
      <c r="X140" s="42" t="n">
        <f aca="false">ROUND(AH140-N140,2)</f>
        <v>0</v>
      </c>
      <c r="Y140" s="42" t="n">
        <f aca="false">ROUND(AI140-O140,2)</f>
        <v>0</v>
      </c>
      <c r="Z140" s="56" t="n">
        <f aca="false">ROUND(P139*(1+N(Debts!$D$5)/12),2)</f>
        <v>0</v>
      </c>
      <c r="AA140" s="56" t="n">
        <f aca="false">ROUND(Q139*(1+N(Debts!$D$6)/12),2)</f>
        <v>0</v>
      </c>
      <c r="AB140" s="56" t="n">
        <f aca="false">ROUND(R139*(1+N(Debts!$D$7)/12),2)</f>
        <v>0</v>
      </c>
      <c r="AC140" s="56" t="n">
        <f aca="false">ROUND(S139*(1+N(Debts!$D$8)/12),2)</f>
        <v>0</v>
      </c>
      <c r="AD140" s="56" t="n">
        <f aca="false">ROUND(T139*(1+N(Debts!$D$9)/12),2)</f>
        <v>0</v>
      </c>
      <c r="AE140" s="56" t="n">
        <f aca="false">ROUND(U139*(1+N(Debts!$D$10)/12),2)</f>
        <v>0</v>
      </c>
      <c r="AF140" s="56" t="n">
        <f aca="false">ROUND(V139*(1+N(Debts!$D$11)/12),2)</f>
        <v>0</v>
      </c>
      <c r="AG140" s="56" t="n">
        <f aca="false">ROUND(W139*(1+N(Debts!$D$12)/12),2)</f>
        <v>0</v>
      </c>
      <c r="AH140" s="56" t="n">
        <f aca="false">ROUND(X139*(1+N(Debts!$D$13)/12),2)</f>
        <v>0</v>
      </c>
      <c r="AI140" s="56" t="n">
        <f aca="false">ROUND(Y139*(1+N(Debts!$D$14)/12),2)</f>
        <v>0</v>
      </c>
      <c r="AJ140" s="56" t="n">
        <f aca="false">MIN(Z140,MAX(0,N(Debts!$E$5)))</f>
        <v>0</v>
      </c>
      <c r="AK140" s="56" t="n">
        <f aca="false">MIN(AA140,MAX(0,N(Debts!$E$6)))</f>
        <v>0</v>
      </c>
      <c r="AL140" s="56" t="n">
        <f aca="false">MIN(AB140,MAX(0,N(Debts!$E$7)))</f>
        <v>0</v>
      </c>
      <c r="AM140" s="56" t="n">
        <f aca="false">MIN(AC140,MAX(0,N(Debts!$E$8)))</f>
        <v>0</v>
      </c>
      <c r="AN140" s="56" t="n">
        <f aca="false">MIN(AD140,MAX(0,N(Debts!$E$9)))</f>
        <v>0</v>
      </c>
      <c r="AO140" s="56" t="n">
        <f aca="false">MIN(AE140,MAX(0,N(Debts!$E$10)))</f>
        <v>0</v>
      </c>
      <c r="AP140" s="56" t="n">
        <f aca="false">MIN(AF140,MAX(0,N(Debts!$E$11)))</f>
        <v>0</v>
      </c>
      <c r="AQ140" s="56" t="n">
        <f aca="false">MIN(AG140,MAX(0,N(Debts!$E$12)))</f>
        <v>0</v>
      </c>
      <c r="AR140" s="56" t="n">
        <f aca="false">MIN(AH140,MAX(0,N(Debts!$E$13)))</f>
        <v>0</v>
      </c>
      <c r="AS140" s="56" t="n">
        <f aca="false">MIN(AI140,MAX(0,N(Debts!$E$14)))</f>
        <v>0</v>
      </c>
    </row>
    <row r="141" customFormat="false" ht="15" hidden="false" customHeight="false" outlineLevel="0" collapsed="false">
      <c r="A141" s="53" t="n">
        <v>137</v>
      </c>
      <c r="B141" s="54" t="n">
        <f aca="false">EDATE('Start Here'!$B$8,136)</f>
        <v>50465</v>
      </c>
      <c r="C141" s="42" t="n">
        <f aca="false">SUM(F141:O141)</f>
        <v>0</v>
      </c>
      <c r="D141" s="42" t="n">
        <f aca="false">ROUND(SUM($Z141:$AI141)-SUM(P140:Y140),2)</f>
        <v>0</v>
      </c>
      <c r="E141" s="55" t="n">
        <f aca="false">SUM(P141:Y141)</f>
        <v>0</v>
      </c>
      <c r="F141" s="42" t="n">
        <f aca="false">AJ141+MIN(Z141-AJ141,MAX(0,'Start Here'!$B$10-SUM($AJ141:$AS141)-SUMPRODUCT(($Z$3:$AI$3&lt;Z$3)*($Z141:$AI141-$AJ141:$AS141))))</f>
        <v>0</v>
      </c>
      <c r="G141" s="42" t="n">
        <f aca="false">AK141+MIN(AA141-AK141,MAX(0,'Start Here'!$B$10-SUM($AJ141:$AS141)-SUMPRODUCT(($Z$3:$AI$3&lt;AA$3)*($Z141:$AI141-$AJ141:$AS141))))</f>
        <v>0</v>
      </c>
      <c r="H141" s="42" t="n">
        <f aca="false">AL141+MIN(AB141-AL141,MAX(0,'Start Here'!$B$10-SUM($AJ141:$AS141)-SUMPRODUCT(($Z$3:$AI$3&lt;AB$3)*($Z141:$AI141-$AJ141:$AS141))))</f>
        <v>0</v>
      </c>
      <c r="I141" s="42" t="n">
        <f aca="false">AM141+MIN(AC141-AM141,MAX(0,'Start Here'!$B$10-SUM($AJ141:$AS141)-SUMPRODUCT(($Z$3:$AI$3&lt;AC$3)*($Z141:$AI141-$AJ141:$AS141))))</f>
        <v>0</v>
      </c>
      <c r="J141" s="42" t="n">
        <f aca="false">AN141+MIN(AD141-AN141,MAX(0,'Start Here'!$B$10-SUM($AJ141:$AS141)-SUMPRODUCT(($Z$3:$AI$3&lt;AD$3)*($Z141:$AI141-$AJ141:$AS141))))</f>
        <v>0</v>
      </c>
      <c r="K141" s="42" t="n">
        <f aca="false">AO141+MIN(AE141-AO141,MAX(0,'Start Here'!$B$10-SUM($AJ141:$AS141)-SUMPRODUCT(($Z$3:$AI$3&lt;AE$3)*($Z141:$AI141-$AJ141:$AS141))))</f>
        <v>0</v>
      </c>
      <c r="L141" s="42" t="n">
        <f aca="false">AP141+MIN(AF141-AP141,MAX(0,'Start Here'!$B$10-SUM($AJ141:$AS141)-SUMPRODUCT(($Z$3:$AI$3&lt;AF$3)*($Z141:$AI141-$AJ141:$AS141))))</f>
        <v>0</v>
      </c>
      <c r="M141" s="42" t="n">
        <f aca="false">AQ141+MIN(AG141-AQ141,MAX(0,'Start Here'!$B$10-SUM($AJ141:$AS141)-SUMPRODUCT(($Z$3:$AI$3&lt;AG$3)*($Z141:$AI141-$AJ141:$AS141))))</f>
        <v>0</v>
      </c>
      <c r="N141" s="42" t="n">
        <f aca="false">AR141+MIN(AH141-AR141,MAX(0,'Start Here'!$B$10-SUM($AJ141:$AS141)-SUMPRODUCT(($Z$3:$AI$3&lt;AH$3)*($Z141:$AI141-$AJ141:$AS141))))</f>
        <v>0</v>
      </c>
      <c r="O141" s="42" t="n">
        <f aca="false">AS141+MIN(AI141-AS141,MAX(0,'Start Here'!$B$10-SUM($AJ141:$AS141)-SUMPRODUCT(($Z$3:$AI$3&lt;AI$3)*($Z141:$AI141-$AJ141:$AS141))))</f>
        <v>0</v>
      </c>
      <c r="P141" s="42" t="n">
        <f aca="false">ROUND(Z141-F141,2)</f>
        <v>0</v>
      </c>
      <c r="Q141" s="42" t="n">
        <f aca="false">ROUND(AA141-G141,2)</f>
        <v>0</v>
      </c>
      <c r="R141" s="42" t="n">
        <f aca="false">ROUND(AB141-H141,2)</f>
        <v>0</v>
      </c>
      <c r="S141" s="42" t="n">
        <f aca="false">ROUND(AC141-I141,2)</f>
        <v>0</v>
      </c>
      <c r="T141" s="42" t="n">
        <f aca="false">ROUND(AD141-J141,2)</f>
        <v>0</v>
      </c>
      <c r="U141" s="42" t="n">
        <f aca="false">ROUND(AE141-K141,2)</f>
        <v>0</v>
      </c>
      <c r="V141" s="42" t="n">
        <f aca="false">ROUND(AF141-L141,2)</f>
        <v>0</v>
      </c>
      <c r="W141" s="42" t="n">
        <f aca="false">ROUND(AG141-M141,2)</f>
        <v>0</v>
      </c>
      <c r="X141" s="42" t="n">
        <f aca="false">ROUND(AH141-N141,2)</f>
        <v>0</v>
      </c>
      <c r="Y141" s="42" t="n">
        <f aca="false">ROUND(AI141-O141,2)</f>
        <v>0</v>
      </c>
      <c r="Z141" s="56" t="n">
        <f aca="false">ROUND(P140*(1+N(Debts!$D$5)/12),2)</f>
        <v>0</v>
      </c>
      <c r="AA141" s="56" t="n">
        <f aca="false">ROUND(Q140*(1+N(Debts!$D$6)/12),2)</f>
        <v>0</v>
      </c>
      <c r="AB141" s="56" t="n">
        <f aca="false">ROUND(R140*(1+N(Debts!$D$7)/12),2)</f>
        <v>0</v>
      </c>
      <c r="AC141" s="56" t="n">
        <f aca="false">ROUND(S140*(1+N(Debts!$D$8)/12),2)</f>
        <v>0</v>
      </c>
      <c r="AD141" s="56" t="n">
        <f aca="false">ROUND(T140*(1+N(Debts!$D$9)/12),2)</f>
        <v>0</v>
      </c>
      <c r="AE141" s="56" t="n">
        <f aca="false">ROUND(U140*(1+N(Debts!$D$10)/12),2)</f>
        <v>0</v>
      </c>
      <c r="AF141" s="56" t="n">
        <f aca="false">ROUND(V140*(1+N(Debts!$D$11)/12),2)</f>
        <v>0</v>
      </c>
      <c r="AG141" s="56" t="n">
        <f aca="false">ROUND(W140*(1+N(Debts!$D$12)/12),2)</f>
        <v>0</v>
      </c>
      <c r="AH141" s="56" t="n">
        <f aca="false">ROUND(X140*(1+N(Debts!$D$13)/12),2)</f>
        <v>0</v>
      </c>
      <c r="AI141" s="56" t="n">
        <f aca="false">ROUND(Y140*(1+N(Debts!$D$14)/12),2)</f>
        <v>0</v>
      </c>
      <c r="AJ141" s="56" t="n">
        <f aca="false">MIN(Z141,MAX(0,N(Debts!$E$5)))</f>
        <v>0</v>
      </c>
      <c r="AK141" s="56" t="n">
        <f aca="false">MIN(AA141,MAX(0,N(Debts!$E$6)))</f>
        <v>0</v>
      </c>
      <c r="AL141" s="56" t="n">
        <f aca="false">MIN(AB141,MAX(0,N(Debts!$E$7)))</f>
        <v>0</v>
      </c>
      <c r="AM141" s="56" t="n">
        <f aca="false">MIN(AC141,MAX(0,N(Debts!$E$8)))</f>
        <v>0</v>
      </c>
      <c r="AN141" s="56" t="n">
        <f aca="false">MIN(AD141,MAX(0,N(Debts!$E$9)))</f>
        <v>0</v>
      </c>
      <c r="AO141" s="56" t="n">
        <f aca="false">MIN(AE141,MAX(0,N(Debts!$E$10)))</f>
        <v>0</v>
      </c>
      <c r="AP141" s="56" t="n">
        <f aca="false">MIN(AF141,MAX(0,N(Debts!$E$11)))</f>
        <v>0</v>
      </c>
      <c r="AQ141" s="56" t="n">
        <f aca="false">MIN(AG141,MAX(0,N(Debts!$E$12)))</f>
        <v>0</v>
      </c>
      <c r="AR141" s="56" t="n">
        <f aca="false">MIN(AH141,MAX(0,N(Debts!$E$13)))</f>
        <v>0</v>
      </c>
      <c r="AS141" s="56" t="n">
        <f aca="false">MIN(AI141,MAX(0,N(Debts!$E$14)))</f>
        <v>0</v>
      </c>
    </row>
    <row r="142" customFormat="false" ht="15" hidden="false" customHeight="false" outlineLevel="0" collapsed="false">
      <c r="A142" s="53" t="n">
        <v>138</v>
      </c>
      <c r="B142" s="54" t="n">
        <f aca="false">EDATE('Start Here'!$B$8,137)</f>
        <v>50496</v>
      </c>
      <c r="C142" s="42" t="n">
        <f aca="false">SUM(F142:O142)</f>
        <v>0</v>
      </c>
      <c r="D142" s="42" t="n">
        <f aca="false">ROUND(SUM($Z142:$AI142)-SUM(P141:Y141),2)</f>
        <v>0</v>
      </c>
      <c r="E142" s="55" t="n">
        <f aca="false">SUM(P142:Y142)</f>
        <v>0</v>
      </c>
      <c r="F142" s="42" t="n">
        <f aca="false">AJ142+MIN(Z142-AJ142,MAX(0,'Start Here'!$B$10-SUM($AJ142:$AS142)-SUMPRODUCT(($Z$3:$AI$3&lt;Z$3)*($Z142:$AI142-$AJ142:$AS142))))</f>
        <v>0</v>
      </c>
      <c r="G142" s="42" t="n">
        <f aca="false">AK142+MIN(AA142-AK142,MAX(0,'Start Here'!$B$10-SUM($AJ142:$AS142)-SUMPRODUCT(($Z$3:$AI$3&lt;AA$3)*($Z142:$AI142-$AJ142:$AS142))))</f>
        <v>0</v>
      </c>
      <c r="H142" s="42" t="n">
        <f aca="false">AL142+MIN(AB142-AL142,MAX(0,'Start Here'!$B$10-SUM($AJ142:$AS142)-SUMPRODUCT(($Z$3:$AI$3&lt;AB$3)*($Z142:$AI142-$AJ142:$AS142))))</f>
        <v>0</v>
      </c>
      <c r="I142" s="42" t="n">
        <f aca="false">AM142+MIN(AC142-AM142,MAX(0,'Start Here'!$B$10-SUM($AJ142:$AS142)-SUMPRODUCT(($Z$3:$AI$3&lt;AC$3)*($Z142:$AI142-$AJ142:$AS142))))</f>
        <v>0</v>
      </c>
      <c r="J142" s="42" t="n">
        <f aca="false">AN142+MIN(AD142-AN142,MAX(0,'Start Here'!$B$10-SUM($AJ142:$AS142)-SUMPRODUCT(($Z$3:$AI$3&lt;AD$3)*($Z142:$AI142-$AJ142:$AS142))))</f>
        <v>0</v>
      </c>
      <c r="K142" s="42" t="n">
        <f aca="false">AO142+MIN(AE142-AO142,MAX(0,'Start Here'!$B$10-SUM($AJ142:$AS142)-SUMPRODUCT(($Z$3:$AI$3&lt;AE$3)*($Z142:$AI142-$AJ142:$AS142))))</f>
        <v>0</v>
      </c>
      <c r="L142" s="42" t="n">
        <f aca="false">AP142+MIN(AF142-AP142,MAX(0,'Start Here'!$B$10-SUM($AJ142:$AS142)-SUMPRODUCT(($Z$3:$AI$3&lt;AF$3)*($Z142:$AI142-$AJ142:$AS142))))</f>
        <v>0</v>
      </c>
      <c r="M142" s="42" t="n">
        <f aca="false">AQ142+MIN(AG142-AQ142,MAX(0,'Start Here'!$B$10-SUM($AJ142:$AS142)-SUMPRODUCT(($Z$3:$AI$3&lt;AG$3)*($Z142:$AI142-$AJ142:$AS142))))</f>
        <v>0</v>
      </c>
      <c r="N142" s="42" t="n">
        <f aca="false">AR142+MIN(AH142-AR142,MAX(0,'Start Here'!$B$10-SUM($AJ142:$AS142)-SUMPRODUCT(($Z$3:$AI$3&lt;AH$3)*($Z142:$AI142-$AJ142:$AS142))))</f>
        <v>0</v>
      </c>
      <c r="O142" s="42" t="n">
        <f aca="false">AS142+MIN(AI142-AS142,MAX(0,'Start Here'!$B$10-SUM($AJ142:$AS142)-SUMPRODUCT(($Z$3:$AI$3&lt;AI$3)*($Z142:$AI142-$AJ142:$AS142))))</f>
        <v>0</v>
      </c>
      <c r="P142" s="42" t="n">
        <f aca="false">ROUND(Z142-F142,2)</f>
        <v>0</v>
      </c>
      <c r="Q142" s="42" t="n">
        <f aca="false">ROUND(AA142-G142,2)</f>
        <v>0</v>
      </c>
      <c r="R142" s="42" t="n">
        <f aca="false">ROUND(AB142-H142,2)</f>
        <v>0</v>
      </c>
      <c r="S142" s="42" t="n">
        <f aca="false">ROUND(AC142-I142,2)</f>
        <v>0</v>
      </c>
      <c r="T142" s="42" t="n">
        <f aca="false">ROUND(AD142-J142,2)</f>
        <v>0</v>
      </c>
      <c r="U142" s="42" t="n">
        <f aca="false">ROUND(AE142-K142,2)</f>
        <v>0</v>
      </c>
      <c r="V142" s="42" t="n">
        <f aca="false">ROUND(AF142-L142,2)</f>
        <v>0</v>
      </c>
      <c r="W142" s="42" t="n">
        <f aca="false">ROUND(AG142-M142,2)</f>
        <v>0</v>
      </c>
      <c r="X142" s="42" t="n">
        <f aca="false">ROUND(AH142-N142,2)</f>
        <v>0</v>
      </c>
      <c r="Y142" s="42" t="n">
        <f aca="false">ROUND(AI142-O142,2)</f>
        <v>0</v>
      </c>
      <c r="Z142" s="56" t="n">
        <f aca="false">ROUND(P141*(1+N(Debts!$D$5)/12),2)</f>
        <v>0</v>
      </c>
      <c r="AA142" s="56" t="n">
        <f aca="false">ROUND(Q141*(1+N(Debts!$D$6)/12),2)</f>
        <v>0</v>
      </c>
      <c r="AB142" s="56" t="n">
        <f aca="false">ROUND(R141*(1+N(Debts!$D$7)/12),2)</f>
        <v>0</v>
      </c>
      <c r="AC142" s="56" t="n">
        <f aca="false">ROUND(S141*(1+N(Debts!$D$8)/12),2)</f>
        <v>0</v>
      </c>
      <c r="AD142" s="56" t="n">
        <f aca="false">ROUND(T141*(1+N(Debts!$D$9)/12),2)</f>
        <v>0</v>
      </c>
      <c r="AE142" s="56" t="n">
        <f aca="false">ROUND(U141*(1+N(Debts!$D$10)/12),2)</f>
        <v>0</v>
      </c>
      <c r="AF142" s="56" t="n">
        <f aca="false">ROUND(V141*(1+N(Debts!$D$11)/12),2)</f>
        <v>0</v>
      </c>
      <c r="AG142" s="56" t="n">
        <f aca="false">ROUND(W141*(1+N(Debts!$D$12)/12),2)</f>
        <v>0</v>
      </c>
      <c r="AH142" s="56" t="n">
        <f aca="false">ROUND(X141*(1+N(Debts!$D$13)/12),2)</f>
        <v>0</v>
      </c>
      <c r="AI142" s="56" t="n">
        <f aca="false">ROUND(Y141*(1+N(Debts!$D$14)/12),2)</f>
        <v>0</v>
      </c>
      <c r="AJ142" s="56" t="n">
        <f aca="false">MIN(Z142,MAX(0,N(Debts!$E$5)))</f>
        <v>0</v>
      </c>
      <c r="AK142" s="56" t="n">
        <f aca="false">MIN(AA142,MAX(0,N(Debts!$E$6)))</f>
        <v>0</v>
      </c>
      <c r="AL142" s="56" t="n">
        <f aca="false">MIN(AB142,MAX(0,N(Debts!$E$7)))</f>
        <v>0</v>
      </c>
      <c r="AM142" s="56" t="n">
        <f aca="false">MIN(AC142,MAX(0,N(Debts!$E$8)))</f>
        <v>0</v>
      </c>
      <c r="AN142" s="56" t="n">
        <f aca="false">MIN(AD142,MAX(0,N(Debts!$E$9)))</f>
        <v>0</v>
      </c>
      <c r="AO142" s="56" t="n">
        <f aca="false">MIN(AE142,MAX(0,N(Debts!$E$10)))</f>
        <v>0</v>
      </c>
      <c r="AP142" s="56" t="n">
        <f aca="false">MIN(AF142,MAX(0,N(Debts!$E$11)))</f>
        <v>0</v>
      </c>
      <c r="AQ142" s="56" t="n">
        <f aca="false">MIN(AG142,MAX(0,N(Debts!$E$12)))</f>
        <v>0</v>
      </c>
      <c r="AR142" s="56" t="n">
        <f aca="false">MIN(AH142,MAX(0,N(Debts!$E$13)))</f>
        <v>0</v>
      </c>
      <c r="AS142" s="56" t="n">
        <f aca="false">MIN(AI142,MAX(0,N(Debts!$E$14)))</f>
        <v>0</v>
      </c>
    </row>
    <row r="143" customFormat="false" ht="15" hidden="false" customHeight="false" outlineLevel="0" collapsed="false">
      <c r="A143" s="53" t="n">
        <v>139</v>
      </c>
      <c r="B143" s="54" t="n">
        <f aca="false">EDATE('Start Here'!$B$8,138)</f>
        <v>50526</v>
      </c>
      <c r="C143" s="42" t="n">
        <f aca="false">SUM(F143:O143)</f>
        <v>0</v>
      </c>
      <c r="D143" s="42" t="n">
        <f aca="false">ROUND(SUM($Z143:$AI143)-SUM(P142:Y142),2)</f>
        <v>0</v>
      </c>
      <c r="E143" s="55" t="n">
        <f aca="false">SUM(P143:Y143)</f>
        <v>0</v>
      </c>
      <c r="F143" s="42" t="n">
        <f aca="false">AJ143+MIN(Z143-AJ143,MAX(0,'Start Here'!$B$10-SUM($AJ143:$AS143)-SUMPRODUCT(($Z$3:$AI$3&lt;Z$3)*($Z143:$AI143-$AJ143:$AS143))))</f>
        <v>0</v>
      </c>
      <c r="G143" s="42" t="n">
        <f aca="false">AK143+MIN(AA143-AK143,MAX(0,'Start Here'!$B$10-SUM($AJ143:$AS143)-SUMPRODUCT(($Z$3:$AI$3&lt;AA$3)*($Z143:$AI143-$AJ143:$AS143))))</f>
        <v>0</v>
      </c>
      <c r="H143" s="42" t="n">
        <f aca="false">AL143+MIN(AB143-AL143,MAX(0,'Start Here'!$B$10-SUM($AJ143:$AS143)-SUMPRODUCT(($Z$3:$AI$3&lt;AB$3)*($Z143:$AI143-$AJ143:$AS143))))</f>
        <v>0</v>
      </c>
      <c r="I143" s="42" t="n">
        <f aca="false">AM143+MIN(AC143-AM143,MAX(0,'Start Here'!$B$10-SUM($AJ143:$AS143)-SUMPRODUCT(($Z$3:$AI$3&lt;AC$3)*($Z143:$AI143-$AJ143:$AS143))))</f>
        <v>0</v>
      </c>
      <c r="J143" s="42" t="n">
        <f aca="false">AN143+MIN(AD143-AN143,MAX(0,'Start Here'!$B$10-SUM($AJ143:$AS143)-SUMPRODUCT(($Z$3:$AI$3&lt;AD$3)*($Z143:$AI143-$AJ143:$AS143))))</f>
        <v>0</v>
      </c>
      <c r="K143" s="42" t="n">
        <f aca="false">AO143+MIN(AE143-AO143,MAX(0,'Start Here'!$B$10-SUM($AJ143:$AS143)-SUMPRODUCT(($Z$3:$AI$3&lt;AE$3)*($Z143:$AI143-$AJ143:$AS143))))</f>
        <v>0</v>
      </c>
      <c r="L143" s="42" t="n">
        <f aca="false">AP143+MIN(AF143-AP143,MAX(0,'Start Here'!$B$10-SUM($AJ143:$AS143)-SUMPRODUCT(($Z$3:$AI$3&lt;AF$3)*($Z143:$AI143-$AJ143:$AS143))))</f>
        <v>0</v>
      </c>
      <c r="M143" s="42" t="n">
        <f aca="false">AQ143+MIN(AG143-AQ143,MAX(0,'Start Here'!$B$10-SUM($AJ143:$AS143)-SUMPRODUCT(($Z$3:$AI$3&lt;AG$3)*($Z143:$AI143-$AJ143:$AS143))))</f>
        <v>0</v>
      </c>
      <c r="N143" s="42" t="n">
        <f aca="false">AR143+MIN(AH143-AR143,MAX(0,'Start Here'!$B$10-SUM($AJ143:$AS143)-SUMPRODUCT(($Z$3:$AI$3&lt;AH$3)*($Z143:$AI143-$AJ143:$AS143))))</f>
        <v>0</v>
      </c>
      <c r="O143" s="42" t="n">
        <f aca="false">AS143+MIN(AI143-AS143,MAX(0,'Start Here'!$B$10-SUM($AJ143:$AS143)-SUMPRODUCT(($Z$3:$AI$3&lt;AI$3)*($Z143:$AI143-$AJ143:$AS143))))</f>
        <v>0</v>
      </c>
      <c r="P143" s="42" t="n">
        <f aca="false">ROUND(Z143-F143,2)</f>
        <v>0</v>
      </c>
      <c r="Q143" s="42" t="n">
        <f aca="false">ROUND(AA143-G143,2)</f>
        <v>0</v>
      </c>
      <c r="R143" s="42" t="n">
        <f aca="false">ROUND(AB143-H143,2)</f>
        <v>0</v>
      </c>
      <c r="S143" s="42" t="n">
        <f aca="false">ROUND(AC143-I143,2)</f>
        <v>0</v>
      </c>
      <c r="T143" s="42" t="n">
        <f aca="false">ROUND(AD143-J143,2)</f>
        <v>0</v>
      </c>
      <c r="U143" s="42" t="n">
        <f aca="false">ROUND(AE143-K143,2)</f>
        <v>0</v>
      </c>
      <c r="V143" s="42" t="n">
        <f aca="false">ROUND(AF143-L143,2)</f>
        <v>0</v>
      </c>
      <c r="W143" s="42" t="n">
        <f aca="false">ROUND(AG143-M143,2)</f>
        <v>0</v>
      </c>
      <c r="X143" s="42" t="n">
        <f aca="false">ROUND(AH143-N143,2)</f>
        <v>0</v>
      </c>
      <c r="Y143" s="42" t="n">
        <f aca="false">ROUND(AI143-O143,2)</f>
        <v>0</v>
      </c>
      <c r="Z143" s="56" t="n">
        <f aca="false">ROUND(P142*(1+N(Debts!$D$5)/12),2)</f>
        <v>0</v>
      </c>
      <c r="AA143" s="56" t="n">
        <f aca="false">ROUND(Q142*(1+N(Debts!$D$6)/12),2)</f>
        <v>0</v>
      </c>
      <c r="AB143" s="56" t="n">
        <f aca="false">ROUND(R142*(1+N(Debts!$D$7)/12),2)</f>
        <v>0</v>
      </c>
      <c r="AC143" s="56" t="n">
        <f aca="false">ROUND(S142*(1+N(Debts!$D$8)/12),2)</f>
        <v>0</v>
      </c>
      <c r="AD143" s="56" t="n">
        <f aca="false">ROUND(T142*(1+N(Debts!$D$9)/12),2)</f>
        <v>0</v>
      </c>
      <c r="AE143" s="56" t="n">
        <f aca="false">ROUND(U142*(1+N(Debts!$D$10)/12),2)</f>
        <v>0</v>
      </c>
      <c r="AF143" s="56" t="n">
        <f aca="false">ROUND(V142*(1+N(Debts!$D$11)/12),2)</f>
        <v>0</v>
      </c>
      <c r="AG143" s="56" t="n">
        <f aca="false">ROUND(W142*(1+N(Debts!$D$12)/12),2)</f>
        <v>0</v>
      </c>
      <c r="AH143" s="56" t="n">
        <f aca="false">ROUND(X142*(1+N(Debts!$D$13)/12),2)</f>
        <v>0</v>
      </c>
      <c r="AI143" s="56" t="n">
        <f aca="false">ROUND(Y142*(1+N(Debts!$D$14)/12),2)</f>
        <v>0</v>
      </c>
      <c r="AJ143" s="56" t="n">
        <f aca="false">MIN(Z143,MAX(0,N(Debts!$E$5)))</f>
        <v>0</v>
      </c>
      <c r="AK143" s="56" t="n">
        <f aca="false">MIN(AA143,MAX(0,N(Debts!$E$6)))</f>
        <v>0</v>
      </c>
      <c r="AL143" s="56" t="n">
        <f aca="false">MIN(AB143,MAX(0,N(Debts!$E$7)))</f>
        <v>0</v>
      </c>
      <c r="AM143" s="56" t="n">
        <f aca="false">MIN(AC143,MAX(0,N(Debts!$E$8)))</f>
        <v>0</v>
      </c>
      <c r="AN143" s="56" t="n">
        <f aca="false">MIN(AD143,MAX(0,N(Debts!$E$9)))</f>
        <v>0</v>
      </c>
      <c r="AO143" s="56" t="n">
        <f aca="false">MIN(AE143,MAX(0,N(Debts!$E$10)))</f>
        <v>0</v>
      </c>
      <c r="AP143" s="56" t="n">
        <f aca="false">MIN(AF143,MAX(0,N(Debts!$E$11)))</f>
        <v>0</v>
      </c>
      <c r="AQ143" s="56" t="n">
        <f aca="false">MIN(AG143,MAX(0,N(Debts!$E$12)))</f>
        <v>0</v>
      </c>
      <c r="AR143" s="56" t="n">
        <f aca="false">MIN(AH143,MAX(0,N(Debts!$E$13)))</f>
        <v>0</v>
      </c>
      <c r="AS143" s="56" t="n">
        <f aca="false">MIN(AI143,MAX(0,N(Debts!$E$14)))</f>
        <v>0</v>
      </c>
    </row>
    <row r="144" customFormat="false" ht="15" hidden="false" customHeight="false" outlineLevel="0" collapsed="false">
      <c r="A144" s="53" t="n">
        <v>140</v>
      </c>
      <c r="B144" s="54" t="n">
        <f aca="false">EDATE('Start Here'!$B$8,139)</f>
        <v>50557</v>
      </c>
      <c r="C144" s="42" t="n">
        <f aca="false">SUM(F144:O144)</f>
        <v>0</v>
      </c>
      <c r="D144" s="42" t="n">
        <f aca="false">ROUND(SUM($Z144:$AI144)-SUM(P143:Y143),2)</f>
        <v>0</v>
      </c>
      <c r="E144" s="55" t="n">
        <f aca="false">SUM(P144:Y144)</f>
        <v>0</v>
      </c>
      <c r="F144" s="42" t="n">
        <f aca="false">AJ144+MIN(Z144-AJ144,MAX(0,'Start Here'!$B$10-SUM($AJ144:$AS144)-SUMPRODUCT(($Z$3:$AI$3&lt;Z$3)*($Z144:$AI144-$AJ144:$AS144))))</f>
        <v>0</v>
      </c>
      <c r="G144" s="42" t="n">
        <f aca="false">AK144+MIN(AA144-AK144,MAX(0,'Start Here'!$B$10-SUM($AJ144:$AS144)-SUMPRODUCT(($Z$3:$AI$3&lt;AA$3)*($Z144:$AI144-$AJ144:$AS144))))</f>
        <v>0</v>
      </c>
      <c r="H144" s="42" t="n">
        <f aca="false">AL144+MIN(AB144-AL144,MAX(0,'Start Here'!$B$10-SUM($AJ144:$AS144)-SUMPRODUCT(($Z$3:$AI$3&lt;AB$3)*($Z144:$AI144-$AJ144:$AS144))))</f>
        <v>0</v>
      </c>
      <c r="I144" s="42" t="n">
        <f aca="false">AM144+MIN(AC144-AM144,MAX(0,'Start Here'!$B$10-SUM($AJ144:$AS144)-SUMPRODUCT(($Z$3:$AI$3&lt;AC$3)*($Z144:$AI144-$AJ144:$AS144))))</f>
        <v>0</v>
      </c>
      <c r="J144" s="42" t="n">
        <f aca="false">AN144+MIN(AD144-AN144,MAX(0,'Start Here'!$B$10-SUM($AJ144:$AS144)-SUMPRODUCT(($Z$3:$AI$3&lt;AD$3)*($Z144:$AI144-$AJ144:$AS144))))</f>
        <v>0</v>
      </c>
      <c r="K144" s="42" t="n">
        <f aca="false">AO144+MIN(AE144-AO144,MAX(0,'Start Here'!$B$10-SUM($AJ144:$AS144)-SUMPRODUCT(($Z$3:$AI$3&lt;AE$3)*($Z144:$AI144-$AJ144:$AS144))))</f>
        <v>0</v>
      </c>
      <c r="L144" s="42" t="n">
        <f aca="false">AP144+MIN(AF144-AP144,MAX(0,'Start Here'!$B$10-SUM($AJ144:$AS144)-SUMPRODUCT(($Z$3:$AI$3&lt;AF$3)*($Z144:$AI144-$AJ144:$AS144))))</f>
        <v>0</v>
      </c>
      <c r="M144" s="42" t="n">
        <f aca="false">AQ144+MIN(AG144-AQ144,MAX(0,'Start Here'!$B$10-SUM($AJ144:$AS144)-SUMPRODUCT(($Z$3:$AI$3&lt;AG$3)*($Z144:$AI144-$AJ144:$AS144))))</f>
        <v>0</v>
      </c>
      <c r="N144" s="42" t="n">
        <f aca="false">AR144+MIN(AH144-AR144,MAX(0,'Start Here'!$B$10-SUM($AJ144:$AS144)-SUMPRODUCT(($Z$3:$AI$3&lt;AH$3)*($Z144:$AI144-$AJ144:$AS144))))</f>
        <v>0</v>
      </c>
      <c r="O144" s="42" t="n">
        <f aca="false">AS144+MIN(AI144-AS144,MAX(0,'Start Here'!$B$10-SUM($AJ144:$AS144)-SUMPRODUCT(($Z$3:$AI$3&lt;AI$3)*($Z144:$AI144-$AJ144:$AS144))))</f>
        <v>0</v>
      </c>
      <c r="P144" s="42" t="n">
        <f aca="false">ROUND(Z144-F144,2)</f>
        <v>0</v>
      </c>
      <c r="Q144" s="42" t="n">
        <f aca="false">ROUND(AA144-G144,2)</f>
        <v>0</v>
      </c>
      <c r="R144" s="42" t="n">
        <f aca="false">ROUND(AB144-H144,2)</f>
        <v>0</v>
      </c>
      <c r="S144" s="42" t="n">
        <f aca="false">ROUND(AC144-I144,2)</f>
        <v>0</v>
      </c>
      <c r="T144" s="42" t="n">
        <f aca="false">ROUND(AD144-J144,2)</f>
        <v>0</v>
      </c>
      <c r="U144" s="42" t="n">
        <f aca="false">ROUND(AE144-K144,2)</f>
        <v>0</v>
      </c>
      <c r="V144" s="42" t="n">
        <f aca="false">ROUND(AF144-L144,2)</f>
        <v>0</v>
      </c>
      <c r="W144" s="42" t="n">
        <f aca="false">ROUND(AG144-M144,2)</f>
        <v>0</v>
      </c>
      <c r="X144" s="42" t="n">
        <f aca="false">ROUND(AH144-N144,2)</f>
        <v>0</v>
      </c>
      <c r="Y144" s="42" t="n">
        <f aca="false">ROUND(AI144-O144,2)</f>
        <v>0</v>
      </c>
      <c r="Z144" s="56" t="n">
        <f aca="false">ROUND(P143*(1+N(Debts!$D$5)/12),2)</f>
        <v>0</v>
      </c>
      <c r="AA144" s="56" t="n">
        <f aca="false">ROUND(Q143*(1+N(Debts!$D$6)/12),2)</f>
        <v>0</v>
      </c>
      <c r="AB144" s="56" t="n">
        <f aca="false">ROUND(R143*(1+N(Debts!$D$7)/12),2)</f>
        <v>0</v>
      </c>
      <c r="AC144" s="56" t="n">
        <f aca="false">ROUND(S143*(1+N(Debts!$D$8)/12),2)</f>
        <v>0</v>
      </c>
      <c r="AD144" s="56" t="n">
        <f aca="false">ROUND(T143*(1+N(Debts!$D$9)/12),2)</f>
        <v>0</v>
      </c>
      <c r="AE144" s="56" t="n">
        <f aca="false">ROUND(U143*(1+N(Debts!$D$10)/12),2)</f>
        <v>0</v>
      </c>
      <c r="AF144" s="56" t="n">
        <f aca="false">ROUND(V143*(1+N(Debts!$D$11)/12),2)</f>
        <v>0</v>
      </c>
      <c r="AG144" s="56" t="n">
        <f aca="false">ROUND(W143*(1+N(Debts!$D$12)/12),2)</f>
        <v>0</v>
      </c>
      <c r="AH144" s="56" t="n">
        <f aca="false">ROUND(X143*(1+N(Debts!$D$13)/12),2)</f>
        <v>0</v>
      </c>
      <c r="AI144" s="56" t="n">
        <f aca="false">ROUND(Y143*(1+N(Debts!$D$14)/12),2)</f>
        <v>0</v>
      </c>
      <c r="AJ144" s="56" t="n">
        <f aca="false">MIN(Z144,MAX(0,N(Debts!$E$5)))</f>
        <v>0</v>
      </c>
      <c r="AK144" s="56" t="n">
        <f aca="false">MIN(AA144,MAX(0,N(Debts!$E$6)))</f>
        <v>0</v>
      </c>
      <c r="AL144" s="56" t="n">
        <f aca="false">MIN(AB144,MAX(0,N(Debts!$E$7)))</f>
        <v>0</v>
      </c>
      <c r="AM144" s="56" t="n">
        <f aca="false">MIN(AC144,MAX(0,N(Debts!$E$8)))</f>
        <v>0</v>
      </c>
      <c r="AN144" s="56" t="n">
        <f aca="false">MIN(AD144,MAX(0,N(Debts!$E$9)))</f>
        <v>0</v>
      </c>
      <c r="AO144" s="56" t="n">
        <f aca="false">MIN(AE144,MAX(0,N(Debts!$E$10)))</f>
        <v>0</v>
      </c>
      <c r="AP144" s="56" t="n">
        <f aca="false">MIN(AF144,MAX(0,N(Debts!$E$11)))</f>
        <v>0</v>
      </c>
      <c r="AQ144" s="56" t="n">
        <f aca="false">MIN(AG144,MAX(0,N(Debts!$E$12)))</f>
        <v>0</v>
      </c>
      <c r="AR144" s="56" t="n">
        <f aca="false">MIN(AH144,MAX(0,N(Debts!$E$13)))</f>
        <v>0</v>
      </c>
      <c r="AS144" s="56" t="n">
        <f aca="false">MIN(AI144,MAX(0,N(Debts!$E$14)))</f>
        <v>0</v>
      </c>
    </row>
    <row r="145" customFormat="false" ht="15" hidden="false" customHeight="false" outlineLevel="0" collapsed="false">
      <c r="A145" s="53" t="n">
        <v>141</v>
      </c>
      <c r="B145" s="54" t="n">
        <f aca="false">EDATE('Start Here'!$B$8,140)</f>
        <v>50587</v>
      </c>
      <c r="C145" s="42" t="n">
        <f aca="false">SUM(F145:O145)</f>
        <v>0</v>
      </c>
      <c r="D145" s="42" t="n">
        <f aca="false">ROUND(SUM($Z145:$AI145)-SUM(P144:Y144),2)</f>
        <v>0</v>
      </c>
      <c r="E145" s="55" t="n">
        <f aca="false">SUM(P145:Y145)</f>
        <v>0</v>
      </c>
      <c r="F145" s="42" t="n">
        <f aca="false">AJ145+MIN(Z145-AJ145,MAX(0,'Start Here'!$B$10-SUM($AJ145:$AS145)-SUMPRODUCT(($Z$3:$AI$3&lt;Z$3)*($Z145:$AI145-$AJ145:$AS145))))</f>
        <v>0</v>
      </c>
      <c r="G145" s="42" t="n">
        <f aca="false">AK145+MIN(AA145-AK145,MAX(0,'Start Here'!$B$10-SUM($AJ145:$AS145)-SUMPRODUCT(($Z$3:$AI$3&lt;AA$3)*($Z145:$AI145-$AJ145:$AS145))))</f>
        <v>0</v>
      </c>
      <c r="H145" s="42" t="n">
        <f aca="false">AL145+MIN(AB145-AL145,MAX(0,'Start Here'!$B$10-SUM($AJ145:$AS145)-SUMPRODUCT(($Z$3:$AI$3&lt;AB$3)*($Z145:$AI145-$AJ145:$AS145))))</f>
        <v>0</v>
      </c>
      <c r="I145" s="42" t="n">
        <f aca="false">AM145+MIN(AC145-AM145,MAX(0,'Start Here'!$B$10-SUM($AJ145:$AS145)-SUMPRODUCT(($Z$3:$AI$3&lt;AC$3)*($Z145:$AI145-$AJ145:$AS145))))</f>
        <v>0</v>
      </c>
      <c r="J145" s="42" t="n">
        <f aca="false">AN145+MIN(AD145-AN145,MAX(0,'Start Here'!$B$10-SUM($AJ145:$AS145)-SUMPRODUCT(($Z$3:$AI$3&lt;AD$3)*($Z145:$AI145-$AJ145:$AS145))))</f>
        <v>0</v>
      </c>
      <c r="K145" s="42" t="n">
        <f aca="false">AO145+MIN(AE145-AO145,MAX(0,'Start Here'!$B$10-SUM($AJ145:$AS145)-SUMPRODUCT(($Z$3:$AI$3&lt;AE$3)*($Z145:$AI145-$AJ145:$AS145))))</f>
        <v>0</v>
      </c>
      <c r="L145" s="42" t="n">
        <f aca="false">AP145+MIN(AF145-AP145,MAX(0,'Start Here'!$B$10-SUM($AJ145:$AS145)-SUMPRODUCT(($Z$3:$AI$3&lt;AF$3)*($Z145:$AI145-$AJ145:$AS145))))</f>
        <v>0</v>
      </c>
      <c r="M145" s="42" t="n">
        <f aca="false">AQ145+MIN(AG145-AQ145,MAX(0,'Start Here'!$B$10-SUM($AJ145:$AS145)-SUMPRODUCT(($Z$3:$AI$3&lt;AG$3)*($Z145:$AI145-$AJ145:$AS145))))</f>
        <v>0</v>
      </c>
      <c r="N145" s="42" t="n">
        <f aca="false">AR145+MIN(AH145-AR145,MAX(0,'Start Here'!$B$10-SUM($AJ145:$AS145)-SUMPRODUCT(($Z$3:$AI$3&lt;AH$3)*($Z145:$AI145-$AJ145:$AS145))))</f>
        <v>0</v>
      </c>
      <c r="O145" s="42" t="n">
        <f aca="false">AS145+MIN(AI145-AS145,MAX(0,'Start Here'!$B$10-SUM($AJ145:$AS145)-SUMPRODUCT(($Z$3:$AI$3&lt;AI$3)*($Z145:$AI145-$AJ145:$AS145))))</f>
        <v>0</v>
      </c>
      <c r="P145" s="42" t="n">
        <f aca="false">ROUND(Z145-F145,2)</f>
        <v>0</v>
      </c>
      <c r="Q145" s="42" t="n">
        <f aca="false">ROUND(AA145-G145,2)</f>
        <v>0</v>
      </c>
      <c r="R145" s="42" t="n">
        <f aca="false">ROUND(AB145-H145,2)</f>
        <v>0</v>
      </c>
      <c r="S145" s="42" t="n">
        <f aca="false">ROUND(AC145-I145,2)</f>
        <v>0</v>
      </c>
      <c r="T145" s="42" t="n">
        <f aca="false">ROUND(AD145-J145,2)</f>
        <v>0</v>
      </c>
      <c r="U145" s="42" t="n">
        <f aca="false">ROUND(AE145-K145,2)</f>
        <v>0</v>
      </c>
      <c r="V145" s="42" t="n">
        <f aca="false">ROUND(AF145-L145,2)</f>
        <v>0</v>
      </c>
      <c r="W145" s="42" t="n">
        <f aca="false">ROUND(AG145-M145,2)</f>
        <v>0</v>
      </c>
      <c r="X145" s="42" t="n">
        <f aca="false">ROUND(AH145-N145,2)</f>
        <v>0</v>
      </c>
      <c r="Y145" s="42" t="n">
        <f aca="false">ROUND(AI145-O145,2)</f>
        <v>0</v>
      </c>
      <c r="Z145" s="56" t="n">
        <f aca="false">ROUND(P144*(1+N(Debts!$D$5)/12),2)</f>
        <v>0</v>
      </c>
      <c r="AA145" s="56" t="n">
        <f aca="false">ROUND(Q144*(1+N(Debts!$D$6)/12),2)</f>
        <v>0</v>
      </c>
      <c r="AB145" s="56" t="n">
        <f aca="false">ROUND(R144*(1+N(Debts!$D$7)/12),2)</f>
        <v>0</v>
      </c>
      <c r="AC145" s="56" t="n">
        <f aca="false">ROUND(S144*(1+N(Debts!$D$8)/12),2)</f>
        <v>0</v>
      </c>
      <c r="AD145" s="56" t="n">
        <f aca="false">ROUND(T144*(1+N(Debts!$D$9)/12),2)</f>
        <v>0</v>
      </c>
      <c r="AE145" s="56" t="n">
        <f aca="false">ROUND(U144*(1+N(Debts!$D$10)/12),2)</f>
        <v>0</v>
      </c>
      <c r="AF145" s="56" t="n">
        <f aca="false">ROUND(V144*(1+N(Debts!$D$11)/12),2)</f>
        <v>0</v>
      </c>
      <c r="AG145" s="56" t="n">
        <f aca="false">ROUND(W144*(1+N(Debts!$D$12)/12),2)</f>
        <v>0</v>
      </c>
      <c r="AH145" s="56" t="n">
        <f aca="false">ROUND(X144*(1+N(Debts!$D$13)/12),2)</f>
        <v>0</v>
      </c>
      <c r="AI145" s="56" t="n">
        <f aca="false">ROUND(Y144*(1+N(Debts!$D$14)/12),2)</f>
        <v>0</v>
      </c>
      <c r="AJ145" s="56" t="n">
        <f aca="false">MIN(Z145,MAX(0,N(Debts!$E$5)))</f>
        <v>0</v>
      </c>
      <c r="AK145" s="56" t="n">
        <f aca="false">MIN(AA145,MAX(0,N(Debts!$E$6)))</f>
        <v>0</v>
      </c>
      <c r="AL145" s="56" t="n">
        <f aca="false">MIN(AB145,MAX(0,N(Debts!$E$7)))</f>
        <v>0</v>
      </c>
      <c r="AM145" s="56" t="n">
        <f aca="false">MIN(AC145,MAX(0,N(Debts!$E$8)))</f>
        <v>0</v>
      </c>
      <c r="AN145" s="56" t="n">
        <f aca="false">MIN(AD145,MAX(0,N(Debts!$E$9)))</f>
        <v>0</v>
      </c>
      <c r="AO145" s="56" t="n">
        <f aca="false">MIN(AE145,MAX(0,N(Debts!$E$10)))</f>
        <v>0</v>
      </c>
      <c r="AP145" s="56" t="n">
        <f aca="false">MIN(AF145,MAX(0,N(Debts!$E$11)))</f>
        <v>0</v>
      </c>
      <c r="AQ145" s="56" t="n">
        <f aca="false">MIN(AG145,MAX(0,N(Debts!$E$12)))</f>
        <v>0</v>
      </c>
      <c r="AR145" s="56" t="n">
        <f aca="false">MIN(AH145,MAX(0,N(Debts!$E$13)))</f>
        <v>0</v>
      </c>
      <c r="AS145" s="56" t="n">
        <f aca="false">MIN(AI145,MAX(0,N(Debts!$E$14)))</f>
        <v>0</v>
      </c>
    </row>
    <row r="146" customFormat="false" ht="15" hidden="false" customHeight="false" outlineLevel="0" collapsed="false">
      <c r="A146" s="53" t="n">
        <v>142</v>
      </c>
      <c r="B146" s="54" t="n">
        <f aca="false">EDATE('Start Here'!$B$8,141)</f>
        <v>50618</v>
      </c>
      <c r="C146" s="42" t="n">
        <f aca="false">SUM(F146:O146)</f>
        <v>0</v>
      </c>
      <c r="D146" s="42" t="n">
        <f aca="false">ROUND(SUM($Z146:$AI146)-SUM(P145:Y145),2)</f>
        <v>0</v>
      </c>
      <c r="E146" s="55" t="n">
        <f aca="false">SUM(P146:Y146)</f>
        <v>0</v>
      </c>
      <c r="F146" s="42" t="n">
        <f aca="false">AJ146+MIN(Z146-AJ146,MAX(0,'Start Here'!$B$10-SUM($AJ146:$AS146)-SUMPRODUCT(($Z$3:$AI$3&lt;Z$3)*($Z146:$AI146-$AJ146:$AS146))))</f>
        <v>0</v>
      </c>
      <c r="G146" s="42" t="n">
        <f aca="false">AK146+MIN(AA146-AK146,MAX(0,'Start Here'!$B$10-SUM($AJ146:$AS146)-SUMPRODUCT(($Z$3:$AI$3&lt;AA$3)*($Z146:$AI146-$AJ146:$AS146))))</f>
        <v>0</v>
      </c>
      <c r="H146" s="42" t="n">
        <f aca="false">AL146+MIN(AB146-AL146,MAX(0,'Start Here'!$B$10-SUM($AJ146:$AS146)-SUMPRODUCT(($Z$3:$AI$3&lt;AB$3)*($Z146:$AI146-$AJ146:$AS146))))</f>
        <v>0</v>
      </c>
      <c r="I146" s="42" t="n">
        <f aca="false">AM146+MIN(AC146-AM146,MAX(0,'Start Here'!$B$10-SUM($AJ146:$AS146)-SUMPRODUCT(($Z$3:$AI$3&lt;AC$3)*($Z146:$AI146-$AJ146:$AS146))))</f>
        <v>0</v>
      </c>
      <c r="J146" s="42" t="n">
        <f aca="false">AN146+MIN(AD146-AN146,MAX(0,'Start Here'!$B$10-SUM($AJ146:$AS146)-SUMPRODUCT(($Z$3:$AI$3&lt;AD$3)*($Z146:$AI146-$AJ146:$AS146))))</f>
        <v>0</v>
      </c>
      <c r="K146" s="42" t="n">
        <f aca="false">AO146+MIN(AE146-AO146,MAX(0,'Start Here'!$B$10-SUM($AJ146:$AS146)-SUMPRODUCT(($Z$3:$AI$3&lt;AE$3)*($Z146:$AI146-$AJ146:$AS146))))</f>
        <v>0</v>
      </c>
      <c r="L146" s="42" t="n">
        <f aca="false">AP146+MIN(AF146-AP146,MAX(0,'Start Here'!$B$10-SUM($AJ146:$AS146)-SUMPRODUCT(($Z$3:$AI$3&lt;AF$3)*($Z146:$AI146-$AJ146:$AS146))))</f>
        <v>0</v>
      </c>
      <c r="M146" s="42" t="n">
        <f aca="false">AQ146+MIN(AG146-AQ146,MAX(0,'Start Here'!$B$10-SUM($AJ146:$AS146)-SUMPRODUCT(($Z$3:$AI$3&lt;AG$3)*($Z146:$AI146-$AJ146:$AS146))))</f>
        <v>0</v>
      </c>
      <c r="N146" s="42" t="n">
        <f aca="false">AR146+MIN(AH146-AR146,MAX(0,'Start Here'!$B$10-SUM($AJ146:$AS146)-SUMPRODUCT(($Z$3:$AI$3&lt;AH$3)*($Z146:$AI146-$AJ146:$AS146))))</f>
        <v>0</v>
      </c>
      <c r="O146" s="42" t="n">
        <f aca="false">AS146+MIN(AI146-AS146,MAX(0,'Start Here'!$B$10-SUM($AJ146:$AS146)-SUMPRODUCT(($Z$3:$AI$3&lt;AI$3)*($Z146:$AI146-$AJ146:$AS146))))</f>
        <v>0</v>
      </c>
      <c r="P146" s="42" t="n">
        <f aca="false">ROUND(Z146-F146,2)</f>
        <v>0</v>
      </c>
      <c r="Q146" s="42" t="n">
        <f aca="false">ROUND(AA146-G146,2)</f>
        <v>0</v>
      </c>
      <c r="R146" s="42" t="n">
        <f aca="false">ROUND(AB146-H146,2)</f>
        <v>0</v>
      </c>
      <c r="S146" s="42" t="n">
        <f aca="false">ROUND(AC146-I146,2)</f>
        <v>0</v>
      </c>
      <c r="T146" s="42" t="n">
        <f aca="false">ROUND(AD146-J146,2)</f>
        <v>0</v>
      </c>
      <c r="U146" s="42" t="n">
        <f aca="false">ROUND(AE146-K146,2)</f>
        <v>0</v>
      </c>
      <c r="V146" s="42" t="n">
        <f aca="false">ROUND(AF146-L146,2)</f>
        <v>0</v>
      </c>
      <c r="W146" s="42" t="n">
        <f aca="false">ROUND(AG146-M146,2)</f>
        <v>0</v>
      </c>
      <c r="X146" s="42" t="n">
        <f aca="false">ROUND(AH146-N146,2)</f>
        <v>0</v>
      </c>
      <c r="Y146" s="42" t="n">
        <f aca="false">ROUND(AI146-O146,2)</f>
        <v>0</v>
      </c>
      <c r="Z146" s="56" t="n">
        <f aca="false">ROUND(P145*(1+N(Debts!$D$5)/12),2)</f>
        <v>0</v>
      </c>
      <c r="AA146" s="56" t="n">
        <f aca="false">ROUND(Q145*(1+N(Debts!$D$6)/12),2)</f>
        <v>0</v>
      </c>
      <c r="AB146" s="56" t="n">
        <f aca="false">ROUND(R145*(1+N(Debts!$D$7)/12),2)</f>
        <v>0</v>
      </c>
      <c r="AC146" s="56" t="n">
        <f aca="false">ROUND(S145*(1+N(Debts!$D$8)/12),2)</f>
        <v>0</v>
      </c>
      <c r="AD146" s="56" t="n">
        <f aca="false">ROUND(T145*(1+N(Debts!$D$9)/12),2)</f>
        <v>0</v>
      </c>
      <c r="AE146" s="56" t="n">
        <f aca="false">ROUND(U145*(1+N(Debts!$D$10)/12),2)</f>
        <v>0</v>
      </c>
      <c r="AF146" s="56" t="n">
        <f aca="false">ROUND(V145*(1+N(Debts!$D$11)/12),2)</f>
        <v>0</v>
      </c>
      <c r="AG146" s="56" t="n">
        <f aca="false">ROUND(W145*(1+N(Debts!$D$12)/12),2)</f>
        <v>0</v>
      </c>
      <c r="AH146" s="56" t="n">
        <f aca="false">ROUND(X145*(1+N(Debts!$D$13)/12),2)</f>
        <v>0</v>
      </c>
      <c r="AI146" s="56" t="n">
        <f aca="false">ROUND(Y145*(1+N(Debts!$D$14)/12),2)</f>
        <v>0</v>
      </c>
      <c r="AJ146" s="56" t="n">
        <f aca="false">MIN(Z146,MAX(0,N(Debts!$E$5)))</f>
        <v>0</v>
      </c>
      <c r="AK146" s="56" t="n">
        <f aca="false">MIN(AA146,MAX(0,N(Debts!$E$6)))</f>
        <v>0</v>
      </c>
      <c r="AL146" s="56" t="n">
        <f aca="false">MIN(AB146,MAX(0,N(Debts!$E$7)))</f>
        <v>0</v>
      </c>
      <c r="AM146" s="56" t="n">
        <f aca="false">MIN(AC146,MAX(0,N(Debts!$E$8)))</f>
        <v>0</v>
      </c>
      <c r="AN146" s="56" t="n">
        <f aca="false">MIN(AD146,MAX(0,N(Debts!$E$9)))</f>
        <v>0</v>
      </c>
      <c r="AO146" s="56" t="n">
        <f aca="false">MIN(AE146,MAX(0,N(Debts!$E$10)))</f>
        <v>0</v>
      </c>
      <c r="AP146" s="56" t="n">
        <f aca="false">MIN(AF146,MAX(0,N(Debts!$E$11)))</f>
        <v>0</v>
      </c>
      <c r="AQ146" s="56" t="n">
        <f aca="false">MIN(AG146,MAX(0,N(Debts!$E$12)))</f>
        <v>0</v>
      </c>
      <c r="AR146" s="56" t="n">
        <f aca="false">MIN(AH146,MAX(0,N(Debts!$E$13)))</f>
        <v>0</v>
      </c>
      <c r="AS146" s="56" t="n">
        <f aca="false">MIN(AI146,MAX(0,N(Debts!$E$14)))</f>
        <v>0</v>
      </c>
    </row>
    <row r="147" customFormat="false" ht="15" hidden="false" customHeight="false" outlineLevel="0" collapsed="false">
      <c r="A147" s="53" t="n">
        <v>143</v>
      </c>
      <c r="B147" s="54" t="n">
        <f aca="false">EDATE('Start Here'!$B$8,142)</f>
        <v>50649</v>
      </c>
      <c r="C147" s="42" t="n">
        <f aca="false">SUM(F147:O147)</f>
        <v>0</v>
      </c>
      <c r="D147" s="42" t="n">
        <f aca="false">ROUND(SUM($Z147:$AI147)-SUM(P146:Y146),2)</f>
        <v>0</v>
      </c>
      <c r="E147" s="55" t="n">
        <f aca="false">SUM(P147:Y147)</f>
        <v>0</v>
      </c>
      <c r="F147" s="42" t="n">
        <f aca="false">AJ147+MIN(Z147-AJ147,MAX(0,'Start Here'!$B$10-SUM($AJ147:$AS147)-SUMPRODUCT(($Z$3:$AI$3&lt;Z$3)*($Z147:$AI147-$AJ147:$AS147))))</f>
        <v>0</v>
      </c>
      <c r="G147" s="42" t="n">
        <f aca="false">AK147+MIN(AA147-AK147,MAX(0,'Start Here'!$B$10-SUM($AJ147:$AS147)-SUMPRODUCT(($Z$3:$AI$3&lt;AA$3)*($Z147:$AI147-$AJ147:$AS147))))</f>
        <v>0</v>
      </c>
      <c r="H147" s="42" t="n">
        <f aca="false">AL147+MIN(AB147-AL147,MAX(0,'Start Here'!$B$10-SUM($AJ147:$AS147)-SUMPRODUCT(($Z$3:$AI$3&lt;AB$3)*($Z147:$AI147-$AJ147:$AS147))))</f>
        <v>0</v>
      </c>
      <c r="I147" s="42" t="n">
        <f aca="false">AM147+MIN(AC147-AM147,MAX(0,'Start Here'!$B$10-SUM($AJ147:$AS147)-SUMPRODUCT(($Z$3:$AI$3&lt;AC$3)*($Z147:$AI147-$AJ147:$AS147))))</f>
        <v>0</v>
      </c>
      <c r="J147" s="42" t="n">
        <f aca="false">AN147+MIN(AD147-AN147,MAX(0,'Start Here'!$B$10-SUM($AJ147:$AS147)-SUMPRODUCT(($Z$3:$AI$3&lt;AD$3)*($Z147:$AI147-$AJ147:$AS147))))</f>
        <v>0</v>
      </c>
      <c r="K147" s="42" t="n">
        <f aca="false">AO147+MIN(AE147-AO147,MAX(0,'Start Here'!$B$10-SUM($AJ147:$AS147)-SUMPRODUCT(($Z$3:$AI$3&lt;AE$3)*($Z147:$AI147-$AJ147:$AS147))))</f>
        <v>0</v>
      </c>
      <c r="L147" s="42" t="n">
        <f aca="false">AP147+MIN(AF147-AP147,MAX(0,'Start Here'!$B$10-SUM($AJ147:$AS147)-SUMPRODUCT(($Z$3:$AI$3&lt;AF$3)*($Z147:$AI147-$AJ147:$AS147))))</f>
        <v>0</v>
      </c>
      <c r="M147" s="42" t="n">
        <f aca="false">AQ147+MIN(AG147-AQ147,MAX(0,'Start Here'!$B$10-SUM($AJ147:$AS147)-SUMPRODUCT(($Z$3:$AI$3&lt;AG$3)*($Z147:$AI147-$AJ147:$AS147))))</f>
        <v>0</v>
      </c>
      <c r="N147" s="42" t="n">
        <f aca="false">AR147+MIN(AH147-AR147,MAX(0,'Start Here'!$B$10-SUM($AJ147:$AS147)-SUMPRODUCT(($Z$3:$AI$3&lt;AH$3)*($Z147:$AI147-$AJ147:$AS147))))</f>
        <v>0</v>
      </c>
      <c r="O147" s="42" t="n">
        <f aca="false">AS147+MIN(AI147-AS147,MAX(0,'Start Here'!$B$10-SUM($AJ147:$AS147)-SUMPRODUCT(($Z$3:$AI$3&lt;AI$3)*($Z147:$AI147-$AJ147:$AS147))))</f>
        <v>0</v>
      </c>
      <c r="P147" s="42" t="n">
        <f aca="false">ROUND(Z147-F147,2)</f>
        <v>0</v>
      </c>
      <c r="Q147" s="42" t="n">
        <f aca="false">ROUND(AA147-G147,2)</f>
        <v>0</v>
      </c>
      <c r="R147" s="42" t="n">
        <f aca="false">ROUND(AB147-H147,2)</f>
        <v>0</v>
      </c>
      <c r="S147" s="42" t="n">
        <f aca="false">ROUND(AC147-I147,2)</f>
        <v>0</v>
      </c>
      <c r="T147" s="42" t="n">
        <f aca="false">ROUND(AD147-J147,2)</f>
        <v>0</v>
      </c>
      <c r="U147" s="42" t="n">
        <f aca="false">ROUND(AE147-K147,2)</f>
        <v>0</v>
      </c>
      <c r="V147" s="42" t="n">
        <f aca="false">ROUND(AF147-L147,2)</f>
        <v>0</v>
      </c>
      <c r="W147" s="42" t="n">
        <f aca="false">ROUND(AG147-M147,2)</f>
        <v>0</v>
      </c>
      <c r="X147" s="42" t="n">
        <f aca="false">ROUND(AH147-N147,2)</f>
        <v>0</v>
      </c>
      <c r="Y147" s="42" t="n">
        <f aca="false">ROUND(AI147-O147,2)</f>
        <v>0</v>
      </c>
      <c r="Z147" s="56" t="n">
        <f aca="false">ROUND(P146*(1+N(Debts!$D$5)/12),2)</f>
        <v>0</v>
      </c>
      <c r="AA147" s="56" t="n">
        <f aca="false">ROUND(Q146*(1+N(Debts!$D$6)/12),2)</f>
        <v>0</v>
      </c>
      <c r="AB147" s="56" t="n">
        <f aca="false">ROUND(R146*(1+N(Debts!$D$7)/12),2)</f>
        <v>0</v>
      </c>
      <c r="AC147" s="56" t="n">
        <f aca="false">ROUND(S146*(1+N(Debts!$D$8)/12),2)</f>
        <v>0</v>
      </c>
      <c r="AD147" s="56" t="n">
        <f aca="false">ROUND(T146*(1+N(Debts!$D$9)/12),2)</f>
        <v>0</v>
      </c>
      <c r="AE147" s="56" t="n">
        <f aca="false">ROUND(U146*(1+N(Debts!$D$10)/12),2)</f>
        <v>0</v>
      </c>
      <c r="AF147" s="56" t="n">
        <f aca="false">ROUND(V146*(1+N(Debts!$D$11)/12),2)</f>
        <v>0</v>
      </c>
      <c r="AG147" s="56" t="n">
        <f aca="false">ROUND(W146*(1+N(Debts!$D$12)/12),2)</f>
        <v>0</v>
      </c>
      <c r="AH147" s="56" t="n">
        <f aca="false">ROUND(X146*(1+N(Debts!$D$13)/12),2)</f>
        <v>0</v>
      </c>
      <c r="AI147" s="56" t="n">
        <f aca="false">ROUND(Y146*(1+N(Debts!$D$14)/12),2)</f>
        <v>0</v>
      </c>
      <c r="AJ147" s="56" t="n">
        <f aca="false">MIN(Z147,MAX(0,N(Debts!$E$5)))</f>
        <v>0</v>
      </c>
      <c r="AK147" s="56" t="n">
        <f aca="false">MIN(AA147,MAX(0,N(Debts!$E$6)))</f>
        <v>0</v>
      </c>
      <c r="AL147" s="56" t="n">
        <f aca="false">MIN(AB147,MAX(0,N(Debts!$E$7)))</f>
        <v>0</v>
      </c>
      <c r="AM147" s="56" t="n">
        <f aca="false">MIN(AC147,MAX(0,N(Debts!$E$8)))</f>
        <v>0</v>
      </c>
      <c r="AN147" s="56" t="n">
        <f aca="false">MIN(AD147,MAX(0,N(Debts!$E$9)))</f>
        <v>0</v>
      </c>
      <c r="AO147" s="56" t="n">
        <f aca="false">MIN(AE147,MAX(0,N(Debts!$E$10)))</f>
        <v>0</v>
      </c>
      <c r="AP147" s="56" t="n">
        <f aca="false">MIN(AF147,MAX(0,N(Debts!$E$11)))</f>
        <v>0</v>
      </c>
      <c r="AQ147" s="56" t="n">
        <f aca="false">MIN(AG147,MAX(0,N(Debts!$E$12)))</f>
        <v>0</v>
      </c>
      <c r="AR147" s="56" t="n">
        <f aca="false">MIN(AH147,MAX(0,N(Debts!$E$13)))</f>
        <v>0</v>
      </c>
      <c r="AS147" s="56" t="n">
        <f aca="false">MIN(AI147,MAX(0,N(Debts!$E$14)))</f>
        <v>0</v>
      </c>
    </row>
    <row r="148" customFormat="false" ht="15" hidden="false" customHeight="false" outlineLevel="0" collapsed="false">
      <c r="A148" s="53" t="n">
        <v>144</v>
      </c>
      <c r="B148" s="54" t="n">
        <f aca="false">EDATE('Start Here'!$B$8,143)</f>
        <v>50679</v>
      </c>
      <c r="C148" s="42" t="n">
        <f aca="false">SUM(F148:O148)</f>
        <v>0</v>
      </c>
      <c r="D148" s="42" t="n">
        <f aca="false">ROUND(SUM($Z148:$AI148)-SUM(P147:Y147),2)</f>
        <v>0</v>
      </c>
      <c r="E148" s="55" t="n">
        <f aca="false">SUM(P148:Y148)</f>
        <v>0</v>
      </c>
      <c r="F148" s="42" t="n">
        <f aca="false">AJ148+MIN(Z148-AJ148,MAX(0,'Start Here'!$B$10-SUM($AJ148:$AS148)-SUMPRODUCT(($Z$3:$AI$3&lt;Z$3)*($Z148:$AI148-$AJ148:$AS148))))</f>
        <v>0</v>
      </c>
      <c r="G148" s="42" t="n">
        <f aca="false">AK148+MIN(AA148-AK148,MAX(0,'Start Here'!$B$10-SUM($AJ148:$AS148)-SUMPRODUCT(($Z$3:$AI$3&lt;AA$3)*($Z148:$AI148-$AJ148:$AS148))))</f>
        <v>0</v>
      </c>
      <c r="H148" s="42" t="n">
        <f aca="false">AL148+MIN(AB148-AL148,MAX(0,'Start Here'!$B$10-SUM($AJ148:$AS148)-SUMPRODUCT(($Z$3:$AI$3&lt;AB$3)*($Z148:$AI148-$AJ148:$AS148))))</f>
        <v>0</v>
      </c>
      <c r="I148" s="42" t="n">
        <f aca="false">AM148+MIN(AC148-AM148,MAX(0,'Start Here'!$B$10-SUM($AJ148:$AS148)-SUMPRODUCT(($Z$3:$AI$3&lt;AC$3)*($Z148:$AI148-$AJ148:$AS148))))</f>
        <v>0</v>
      </c>
      <c r="J148" s="42" t="n">
        <f aca="false">AN148+MIN(AD148-AN148,MAX(0,'Start Here'!$B$10-SUM($AJ148:$AS148)-SUMPRODUCT(($Z$3:$AI$3&lt;AD$3)*($Z148:$AI148-$AJ148:$AS148))))</f>
        <v>0</v>
      </c>
      <c r="K148" s="42" t="n">
        <f aca="false">AO148+MIN(AE148-AO148,MAX(0,'Start Here'!$B$10-SUM($AJ148:$AS148)-SUMPRODUCT(($Z$3:$AI$3&lt;AE$3)*($Z148:$AI148-$AJ148:$AS148))))</f>
        <v>0</v>
      </c>
      <c r="L148" s="42" t="n">
        <f aca="false">AP148+MIN(AF148-AP148,MAX(0,'Start Here'!$B$10-SUM($AJ148:$AS148)-SUMPRODUCT(($Z$3:$AI$3&lt;AF$3)*($Z148:$AI148-$AJ148:$AS148))))</f>
        <v>0</v>
      </c>
      <c r="M148" s="42" t="n">
        <f aca="false">AQ148+MIN(AG148-AQ148,MAX(0,'Start Here'!$B$10-SUM($AJ148:$AS148)-SUMPRODUCT(($Z$3:$AI$3&lt;AG$3)*($Z148:$AI148-$AJ148:$AS148))))</f>
        <v>0</v>
      </c>
      <c r="N148" s="42" t="n">
        <f aca="false">AR148+MIN(AH148-AR148,MAX(0,'Start Here'!$B$10-SUM($AJ148:$AS148)-SUMPRODUCT(($Z$3:$AI$3&lt;AH$3)*($Z148:$AI148-$AJ148:$AS148))))</f>
        <v>0</v>
      </c>
      <c r="O148" s="42" t="n">
        <f aca="false">AS148+MIN(AI148-AS148,MAX(0,'Start Here'!$B$10-SUM($AJ148:$AS148)-SUMPRODUCT(($Z$3:$AI$3&lt;AI$3)*($Z148:$AI148-$AJ148:$AS148))))</f>
        <v>0</v>
      </c>
      <c r="P148" s="42" t="n">
        <f aca="false">ROUND(Z148-F148,2)</f>
        <v>0</v>
      </c>
      <c r="Q148" s="42" t="n">
        <f aca="false">ROUND(AA148-G148,2)</f>
        <v>0</v>
      </c>
      <c r="R148" s="42" t="n">
        <f aca="false">ROUND(AB148-H148,2)</f>
        <v>0</v>
      </c>
      <c r="S148" s="42" t="n">
        <f aca="false">ROUND(AC148-I148,2)</f>
        <v>0</v>
      </c>
      <c r="T148" s="42" t="n">
        <f aca="false">ROUND(AD148-J148,2)</f>
        <v>0</v>
      </c>
      <c r="U148" s="42" t="n">
        <f aca="false">ROUND(AE148-K148,2)</f>
        <v>0</v>
      </c>
      <c r="V148" s="42" t="n">
        <f aca="false">ROUND(AF148-L148,2)</f>
        <v>0</v>
      </c>
      <c r="W148" s="42" t="n">
        <f aca="false">ROUND(AG148-M148,2)</f>
        <v>0</v>
      </c>
      <c r="X148" s="42" t="n">
        <f aca="false">ROUND(AH148-N148,2)</f>
        <v>0</v>
      </c>
      <c r="Y148" s="42" t="n">
        <f aca="false">ROUND(AI148-O148,2)</f>
        <v>0</v>
      </c>
      <c r="Z148" s="56" t="n">
        <f aca="false">ROUND(P147*(1+N(Debts!$D$5)/12),2)</f>
        <v>0</v>
      </c>
      <c r="AA148" s="56" t="n">
        <f aca="false">ROUND(Q147*(1+N(Debts!$D$6)/12),2)</f>
        <v>0</v>
      </c>
      <c r="AB148" s="56" t="n">
        <f aca="false">ROUND(R147*(1+N(Debts!$D$7)/12),2)</f>
        <v>0</v>
      </c>
      <c r="AC148" s="56" t="n">
        <f aca="false">ROUND(S147*(1+N(Debts!$D$8)/12),2)</f>
        <v>0</v>
      </c>
      <c r="AD148" s="56" t="n">
        <f aca="false">ROUND(T147*(1+N(Debts!$D$9)/12),2)</f>
        <v>0</v>
      </c>
      <c r="AE148" s="56" t="n">
        <f aca="false">ROUND(U147*(1+N(Debts!$D$10)/12),2)</f>
        <v>0</v>
      </c>
      <c r="AF148" s="56" t="n">
        <f aca="false">ROUND(V147*(1+N(Debts!$D$11)/12),2)</f>
        <v>0</v>
      </c>
      <c r="AG148" s="56" t="n">
        <f aca="false">ROUND(W147*(1+N(Debts!$D$12)/12),2)</f>
        <v>0</v>
      </c>
      <c r="AH148" s="56" t="n">
        <f aca="false">ROUND(X147*(1+N(Debts!$D$13)/12),2)</f>
        <v>0</v>
      </c>
      <c r="AI148" s="56" t="n">
        <f aca="false">ROUND(Y147*(1+N(Debts!$D$14)/12),2)</f>
        <v>0</v>
      </c>
      <c r="AJ148" s="56" t="n">
        <f aca="false">MIN(Z148,MAX(0,N(Debts!$E$5)))</f>
        <v>0</v>
      </c>
      <c r="AK148" s="56" t="n">
        <f aca="false">MIN(AA148,MAX(0,N(Debts!$E$6)))</f>
        <v>0</v>
      </c>
      <c r="AL148" s="56" t="n">
        <f aca="false">MIN(AB148,MAX(0,N(Debts!$E$7)))</f>
        <v>0</v>
      </c>
      <c r="AM148" s="56" t="n">
        <f aca="false">MIN(AC148,MAX(0,N(Debts!$E$8)))</f>
        <v>0</v>
      </c>
      <c r="AN148" s="56" t="n">
        <f aca="false">MIN(AD148,MAX(0,N(Debts!$E$9)))</f>
        <v>0</v>
      </c>
      <c r="AO148" s="56" t="n">
        <f aca="false">MIN(AE148,MAX(0,N(Debts!$E$10)))</f>
        <v>0</v>
      </c>
      <c r="AP148" s="56" t="n">
        <f aca="false">MIN(AF148,MAX(0,N(Debts!$E$11)))</f>
        <v>0</v>
      </c>
      <c r="AQ148" s="56" t="n">
        <f aca="false">MIN(AG148,MAX(0,N(Debts!$E$12)))</f>
        <v>0</v>
      </c>
      <c r="AR148" s="56" t="n">
        <f aca="false">MIN(AH148,MAX(0,N(Debts!$E$13)))</f>
        <v>0</v>
      </c>
      <c r="AS148" s="56" t="n">
        <f aca="false">MIN(AI148,MAX(0,N(Debts!$E$14)))</f>
        <v>0</v>
      </c>
    </row>
    <row r="149" customFormat="false" ht="15" hidden="false" customHeight="false" outlineLevel="0" collapsed="false">
      <c r="A149" s="53" t="n">
        <v>145</v>
      </c>
      <c r="B149" s="54" t="n">
        <f aca="false">EDATE('Start Here'!$B$8,144)</f>
        <v>50710</v>
      </c>
      <c r="C149" s="42" t="n">
        <f aca="false">SUM(F149:O149)</f>
        <v>0</v>
      </c>
      <c r="D149" s="42" t="n">
        <f aca="false">ROUND(SUM($Z149:$AI149)-SUM(P148:Y148),2)</f>
        <v>0</v>
      </c>
      <c r="E149" s="55" t="n">
        <f aca="false">SUM(P149:Y149)</f>
        <v>0</v>
      </c>
      <c r="F149" s="42" t="n">
        <f aca="false">AJ149+MIN(Z149-AJ149,MAX(0,'Start Here'!$B$10-SUM($AJ149:$AS149)-SUMPRODUCT(($Z$3:$AI$3&lt;Z$3)*($Z149:$AI149-$AJ149:$AS149))))</f>
        <v>0</v>
      </c>
      <c r="G149" s="42" t="n">
        <f aca="false">AK149+MIN(AA149-AK149,MAX(0,'Start Here'!$B$10-SUM($AJ149:$AS149)-SUMPRODUCT(($Z$3:$AI$3&lt;AA$3)*($Z149:$AI149-$AJ149:$AS149))))</f>
        <v>0</v>
      </c>
      <c r="H149" s="42" t="n">
        <f aca="false">AL149+MIN(AB149-AL149,MAX(0,'Start Here'!$B$10-SUM($AJ149:$AS149)-SUMPRODUCT(($Z$3:$AI$3&lt;AB$3)*($Z149:$AI149-$AJ149:$AS149))))</f>
        <v>0</v>
      </c>
      <c r="I149" s="42" t="n">
        <f aca="false">AM149+MIN(AC149-AM149,MAX(0,'Start Here'!$B$10-SUM($AJ149:$AS149)-SUMPRODUCT(($Z$3:$AI$3&lt;AC$3)*($Z149:$AI149-$AJ149:$AS149))))</f>
        <v>0</v>
      </c>
      <c r="J149" s="42" t="n">
        <f aca="false">AN149+MIN(AD149-AN149,MAX(0,'Start Here'!$B$10-SUM($AJ149:$AS149)-SUMPRODUCT(($Z$3:$AI$3&lt;AD$3)*($Z149:$AI149-$AJ149:$AS149))))</f>
        <v>0</v>
      </c>
      <c r="K149" s="42" t="n">
        <f aca="false">AO149+MIN(AE149-AO149,MAX(0,'Start Here'!$B$10-SUM($AJ149:$AS149)-SUMPRODUCT(($Z$3:$AI$3&lt;AE$3)*($Z149:$AI149-$AJ149:$AS149))))</f>
        <v>0</v>
      </c>
      <c r="L149" s="42" t="n">
        <f aca="false">AP149+MIN(AF149-AP149,MAX(0,'Start Here'!$B$10-SUM($AJ149:$AS149)-SUMPRODUCT(($Z$3:$AI$3&lt;AF$3)*($Z149:$AI149-$AJ149:$AS149))))</f>
        <v>0</v>
      </c>
      <c r="M149" s="42" t="n">
        <f aca="false">AQ149+MIN(AG149-AQ149,MAX(0,'Start Here'!$B$10-SUM($AJ149:$AS149)-SUMPRODUCT(($Z$3:$AI$3&lt;AG$3)*($Z149:$AI149-$AJ149:$AS149))))</f>
        <v>0</v>
      </c>
      <c r="N149" s="42" t="n">
        <f aca="false">AR149+MIN(AH149-AR149,MAX(0,'Start Here'!$B$10-SUM($AJ149:$AS149)-SUMPRODUCT(($Z$3:$AI$3&lt;AH$3)*($Z149:$AI149-$AJ149:$AS149))))</f>
        <v>0</v>
      </c>
      <c r="O149" s="42" t="n">
        <f aca="false">AS149+MIN(AI149-AS149,MAX(0,'Start Here'!$B$10-SUM($AJ149:$AS149)-SUMPRODUCT(($Z$3:$AI$3&lt;AI$3)*($Z149:$AI149-$AJ149:$AS149))))</f>
        <v>0</v>
      </c>
      <c r="P149" s="42" t="n">
        <f aca="false">ROUND(Z149-F149,2)</f>
        <v>0</v>
      </c>
      <c r="Q149" s="42" t="n">
        <f aca="false">ROUND(AA149-G149,2)</f>
        <v>0</v>
      </c>
      <c r="R149" s="42" t="n">
        <f aca="false">ROUND(AB149-H149,2)</f>
        <v>0</v>
      </c>
      <c r="S149" s="42" t="n">
        <f aca="false">ROUND(AC149-I149,2)</f>
        <v>0</v>
      </c>
      <c r="T149" s="42" t="n">
        <f aca="false">ROUND(AD149-J149,2)</f>
        <v>0</v>
      </c>
      <c r="U149" s="42" t="n">
        <f aca="false">ROUND(AE149-K149,2)</f>
        <v>0</v>
      </c>
      <c r="V149" s="42" t="n">
        <f aca="false">ROUND(AF149-L149,2)</f>
        <v>0</v>
      </c>
      <c r="W149" s="42" t="n">
        <f aca="false">ROUND(AG149-M149,2)</f>
        <v>0</v>
      </c>
      <c r="X149" s="42" t="n">
        <f aca="false">ROUND(AH149-N149,2)</f>
        <v>0</v>
      </c>
      <c r="Y149" s="42" t="n">
        <f aca="false">ROUND(AI149-O149,2)</f>
        <v>0</v>
      </c>
      <c r="Z149" s="56" t="n">
        <f aca="false">ROUND(P148*(1+N(Debts!$D$5)/12),2)</f>
        <v>0</v>
      </c>
      <c r="AA149" s="56" t="n">
        <f aca="false">ROUND(Q148*(1+N(Debts!$D$6)/12),2)</f>
        <v>0</v>
      </c>
      <c r="AB149" s="56" t="n">
        <f aca="false">ROUND(R148*(1+N(Debts!$D$7)/12),2)</f>
        <v>0</v>
      </c>
      <c r="AC149" s="56" t="n">
        <f aca="false">ROUND(S148*(1+N(Debts!$D$8)/12),2)</f>
        <v>0</v>
      </c>
      <c r="AD149" s="56" t="n">
        <f aca="false">ROUND(T148*(1+N(Debts!$D$9)/12),2)</f>
        <v>0</v>
      </c>
      <c r="AE149" s="56" t="n">
        <f aca="false">ROUND(U148*(1+N(Debts!$D$10)/12),2)</f>
        <v>0</v>
      </c>
      <c r="AF149" s="56" t="n">
        <f aca="false">ROUND(V148*(1+N(Debts!$D$11)/12),2)</f>
        <v>0</v>
      </c>
      <c r="AG149" s="56" t="n">
        <f aca="false">ROUND(W148*(1+N(Debts!$D$12)/12),2)</f>
        <v>0</v>
      </c>
      <c r="AH149" s="56" t="n">
        <f aca="false">ROUND(X148*(1+N(Debts!$D$13)/12),2)</f>
        <v>0</v>
      </c>
      <c r="AI149" s="56" t="n">
        <f aca="false">ROUND(Y148*(1+N(Debts!$D$14)/12),2)</f>
        <v>0</v>
      </c>
      <c r="AJ149" s="56" t="n">
        <f aca="false">MIN(Z149,MAX(0,N(Debts!$E$5)))</f>
        <v>0</v>
      </c>
      <c r="AK149" s="56" t="n">
        <f aca="false">MIN(AA149,MAX(0,N(Debts!$E$6)))</f>
        <v>0</v>
      </c>
      <c r="AL149" s="56" t="n">
        <f aca="false">MIN(AB149,MAX(0,N(Debts!$E$7)))</f>
        <v>0</v>
      </c>
      <c r="AM149" s="56" t="n">
        <f aca="false">MIN(AC149,MAX(0,N(Debts!$E$8)))</f>
        <v>0</v>
      </c>
      <c r="AN149" s="56" t="n">
        <f aca="false">MIN(AD149,MAX(0,N(Debts!$E$9)))</f>
        <v>0</v>
      </c>
      <c r="AO149" s="56" t="n">
        <f aca="false">MIN(AE149,MAX(0,N(Debts!$E$10)))</f>
        <v>0</v>
      </c>
      <c r="AP149" s="56" t="n">
        <f aca="false">MIN(AF149,MAX(0,N(Debts!$E$11)))</f>
        <v>0</v>
      </c>
      <c r="AQ149" s="56" t="n">
        <f aca="false">MIN(AG149,MAX(0,N(Debts!$E$12)))</f>
        <v>0</v>
      </c>
      <c r="AR149" s="56" t="n">
        <f aca="false">MIN(AH149,MAX(0,N(Debts!$E$13)))</f>
        <v>0</v>
      </c>
      <c r="AS149" s="56" t="n">
        <f aca="false">MIN(AI149,MAX(0,N(Debts!$E$14)))</f>
        <v>0</v>
      </c>
    </row>
    <row r="150" customFormat="false" ht="15" hidden="false" customHeight="false" outlineLevel="0" collapsed="false">
      <c r="A150" s="53" t="n">
        <v>146</v>
      </c>
      <c r="B150" s="54" t="n">
        <f aca="false">EDATE('Start Here'!$B$8,145)</f>
        <v>50740</v>
      </c>
      <c r="C150" s="42" t="n">
        <f aca="false">SUM(F150:O150)</f>
        <v>0</v>
      </c>
      <c r="D150" s="42" t="n">
        <f aca="false">ROUND(SUM($Z150:$AI150)-SUM(P149:Y149),2)</f>
        <v>0</v>
      </c>
      <c r="E150" s="55" t="n">
        <f aca="false">SUM(P150:Y150)</f>
        <v>0</v>
      </c>
      <c r="F150" s="42" t="n">
        <f aca="false">AJ150+MIN(Z150-AJ150,MAX(0,'Start Here'!$B$10-SUM($AJ150:$AS150)-SUMPRODUCT(($Z$3:$AI$3&lt;Z$3)*($Z150:$AI150-$AJ150:$AS150))))</f>
        <v>0</v>
      </c>
      <c r="G150" s="42" t="n">
        <f aca="false">AK150+MIN(AA150-AK150,MAX(0,'Start Here'!$B$10-SUM($AJ150:$AS150)-SUMPRODUCT(($Z$3:$AI$3&lt;AA$3)*($Z150:$AI150-$AJ150:$AS150))))</f>
        <v>0</v>
      </c>
      <c r="H150" s="42" t="n">
        <f aca="false">AL150+MIN(AB150-AL150,MAX(0,'Start Here'!$B$10-SUM($AJ150:$AS150)-SUMPRODUCT(($Z$3:$AI$3&lt;AB$3)*($Z150:$AI150-$AJ150:$AS150))))</f>
        <v>0</v>
      </c>
      <c r="I150" s="42" t="n">
        <f aca="false">AM150+MIN(AC150-AM150,MAX(0,'Start Here'!$B$10-SUM($AJ150:$AS150)-SUMPRODUCT(($Z$3:$AI$3&lt;AC$3)*($Z150:$AI150-$AJ150:$AS150))))</f>
        <v>0</v>
      </c>
      <c r="J150" s="42" t="n">
        <f aca="false">AN150+MIN(AD150-AN150,MAX(0,'Start Here'!$B$10-SUM($AJ150:$AS150)-SUMPRODUCT(($Z$3:$AI$3&lt;AD$3)*($Z150:$AI150-$AJ150:$AS150))))</f>
        <v>0</v>
      </c>
      <c r="K150" s="42" t="n">
        <f aca="false">AO150+MIN(AE150-AO150,MAX(0,'Start Here'!$B$10-SUM($AJ150:$AS150)-SUMPRODUCT(($Z$3:$AI$3&lt;AE$3)*($Z150:$AI150-$AJ150:$AS150))))</f>
        <v>0</v>
      </c>
      <c r="L150" s="42" t="n">
        <f aca="false">AP150+MIN(AF150-AP150,MAX(0,'Start Here'!$B$10-SUM($AJ150:$AS150)-SUMPRODUCT(($Z$3:$AI$3&lt;AF$3)*($Z150:$AI150-$AJ150:$AS150))))</f>
        <v>0</v>
      </c>
      <c r="M150" s="42" t="n">
        <f aca="false">AQ150+MIN(AG150-AQ150,MAX(0,'Start Here'!$B$10-SUM($AJ150:$AS150)-SUMPRODUCT(($Z$3:$AI$3&lt;AG$3)*($Z150:$AI150-$AJ150:$AS150))))</f>
        <v>0</v>
      </c>
      <c r="N150" s="42" t="n">
        <f aca="false">AR150+MIN(AH150-AR150,MAX(0,'Start Here'!$B$10-SUM($AJ150:$AS150)-SUMPRODUCT(($Z$3:$AI$3&lt;AH$3)*($Z150:$AI150-$AJ150:$AS150))))</f>
        <v>0</v>
      </c>
      <c r="O150" s="42" t="n">
        <f aca="false">AS150+MIN(AI150-AS150,MAX(0,'Start Here'!$B$10-SUM($AJ150:$AS150)-SUMPRODUCT(($Z$3:$AI$3&lt;AI$3)*($Z150:$AI150-$AJ150:$AS150))))</f>
        <v>0</v>
      </c>
      <c r="P150" s="42" t="n">
        <f aca="false">ROUND(Z150-F150,2)</f>
        <v>0</v>
      </c>
      <c r="Q150" s="42" t="n">
        <f aca="false">ROUND(AA150-G150,2)</f>
        <v>0</v>
      </c>
      <c r="R150" s="42" t="n">
        <f aca="false">ROUND(AB150-H150,2)</f>
        <v>0</v>
      </c>
      <c r="S150" s="42" t="n">
        <f aca="false">ROUND(AC150-I150,2)</f>
        <v>0</v>
      </c>
      <c r="T150" s="42" t="n">
        <f aca="false">ROUND(AD150-J150,2)</f>
        <v>0</v>
      </c>
      <c r="U150" s="42" t="n">
        <f aca="false">ROUND(AE150-K150,2)</f>
        <v>0</v>
      </c>
      <c r="V150" s="42" t="n">
        <f aca="false">ROUND(AF150-L150,2)</f>
        <v>0</v>
      </c>
      <c r="W150" s="42" t="n">
        <f aca="false">ROUND(AG150-M150,2)</f>
        <v>0</v>
      </c>
      <c r="X150" s="42" t="n">
        <f aca="false">ROUND(AH150-N150,2)</f>
        <v>0</v>
      </c>
      <c r="Y150" s="42" t="n">
        <f aca="false">ROUND(AI150-O150,2)</f>
        <v>0</v>
      </c>
      <c r="Z150" s="56" t="n">
        <f aca="false">ROUND(P149*(1+N(Debts!$D$5)/12),2)</f>
        <v>0</v>
      </c>
      <c r="AA150" s="56" t="n">
        <f aca="false">ROUND(Q149*(1+N(Debts!$D$6)/12),2)</f>
        <v>0</v>
      </c>
      <c r="AB150" s="56" t="n">
        <f aca="false">ROUND(R149*(1+N(Debts!$D$7)/12),2)</f>
        <v>0</v>
      </c>
      <c r="AC150" s="56" t="n">
        <f aca="false">ROUND(S149*(1+N(Debts!$D$8)/12),2)</f>
        <v>0</v>
      </c>
      <c r="AD150" s="56" t="n">
        <f aca="false">ROUND(T149*(1+N(Debts!$D$9)/12),2)</f>
        <v>0</v>
      </c>
      <c r="AE150" s="56" t="n">
        <f aca="false">ROUND(U149*(1+N(Debts!$D$10)/12),2)</f>
        <v>0</v>
      </c>
      <c r="AF150" s="56" t="n">
        <f aca="false">ROUND(V149*(1+N(Debts!$D$11)/12),2)</f>
        <v>0</v>
      </c>
      <c r="AG150" s="56" t="n">
        <f aca="false">ROUND(W149*(1+N(Debts!$D$12)/12),2)</f>
        <v>0</v>
      </c>
      <c r="AH150" s="56" t="n">
        <f aca="false">ROUND(X149*(1+N(Debts!$D$13)/12),2)</f>
        <v>0</v>
      </c>
      <c r="AI150" s="56" t="n">
        <f aca="false">ROUND(Y149*(1+N(Debts!$D$14)/12),2)</f>
        <v>0</v>
      </c>
      <c r="AJ150" s="56" t="n">
        <f aca="false">MIN(Z150,MAX(0,N(Debts!$E$5)))</f>
        <v>0</v>
      </c>
      <c r="AK150" s="56" t="n">
        <f aca="false">MIN(AA150,MAX(0,N(Debts!$E$6)))</f>
        <v>0</v>
      </c>
      <c r="AL150" s="56" t="n">
        <f aca="false">MIN(AB150,MAX(0,N(Debts!$E$7)))</f>
        <v>0</v>
      </c>
      <c r="AM150" s="56" t="n">
        <f aca="false">MIN(AC150,MAX(0,N(Debts!$E$8)))</f>
        <v>0</v>
      </c>
      <c r="AN150" s="56" t="n">
        <f aca="false">MIN(AD150,MAX(0,N(Debts!$E$9)))</f>
        <v>0</v>
      </c>
      <c r="AO150" s="56" t="n">
        <f aca="false">MIN(AE150,MAX(0,N(Debts!$E$10)))</f>
        <v>0</v>
      </c>
      <c r="AP150" s="56" t="n">
        <f aca="false">MIN(AF150,MAX(0,N(Debts!$E$11)))</f>
        <v>0</v>
      </c>
      <c r="AQ150" s="56" t="n">
        <f aca="false">MIN(AG150,MAX(0,N(Debts!$E$12)))</f>
        <v>0</v>
      </c>
      <c r="AR150" s="56" t="n">
        <f aca="false">MIN(AH150,MAX(0,N(Debts!$E$13)))</f>
        <v>0</v>
      </c>
      <c r="AS150" s="56" t="n">
        <f aca="false">MIN(AI150,MAX(0,N(Debts!$E$14)))</f>
        <v>0</v>
      </c>
    </row>
    <row r="151" customFormat="false" ht="15" hidden="false" customHeight="false" outlineLevel="0" collapsed="false">
      <c r="A151" s="53" t="n">
        <v>147</v>
      </c>
      <c r="B151" s="54" t="n">
        <f aca="false">EDATE('Start Here'!$B$8,146)</f>
        <v>50771</v>
      </c>
      <c r="C151" s="42" t="n">
        <f aca="false">SUM(F151:O151)</f>
        <v>0</v>
      </c>
      <c r="D151" s="42" t="n">
        <f aca="false">ROUND(SUM($Z151:$AI151)-SUM(P150:Y150),2)</f>
        <v>0</v>
      </c>
      <c r="E151" s="55" t="n">
        <f aca="false">SUM(P151:Y151)</f>
        <v>0</v>
      </c>
      <c r="F151" s="42" t="n">
        <f aca="false">AJ151+MIN(Z151-AJ151,MAX(0,'Start Here'!$B$10-SUM($AJ151:$AS151)-SUMPRODUCT(($Z$3:$AI$3&lt;Z$3)*($Z151:$AI151-$AJ151:$AS151))))</f>
        <v>0</v>
      </c>
      <c r="G151" s="42" t="n">
        <f aca="false">AK151+MIN(AA151-AK151,MAX(0,'Start Here'!$B$10-SUM($AJ151:$AS151)-SUMPRODUCT(($Z$3:$AI$3&lt;AA$3)*($Z151:$AI151-$AJ151:$AS151))))</f>
        <v>0</v>
      </c>
      <c r="H151" s="42" t="n">
        <f aca="false">AL151+MIN(AB151-AL151,MAX(0,'Start Here'!$B$10-SUM($AJ151:$AS151)-SUMPRODUCT(($Z$3:$AI$3&lt;AB$3)*($Z151:$AI151-$AJ151:$AS151))))</f>
        <v>0</v>
      </c>
      <c r="I151" s="42" t="n">
        <f aca="false">AM151+MIN(AC151-AM151,MAX(0,'Start Here'!$B$10-SUM($AJ151:$AS151)-SUMPRODUCT(($Z$3:$AI$3&lt;AC$3)*($Z151:$AI151-$AJ151:$AS151))))</f>
        <v>0</v>
      </c>
      <c r="J151" s="42" t="n">
        <f aca="false">AN151+MIN(AD151-AN151,MAX(0,'Start Here'!$B$10-SUM($AJ151:$AS151)-SUMPRODUCT(($Z$3:$AI$3&lt;AD$3)*($Z151:$AI151-$AJ151:$AS151))))</f>
        <v>0</v>
      </c>
      <c r="K151" s="42" t="n">
        <f aca="false">AO151+MIN(AE151-AO151,MAX(0,'Start Here'!$B$10-SUM($AJ151:$AS151)-SUMPRODUCT(($Z$3:$AI$3&lt;AE$3)*($Z151:$AI151-$AJ151:$AS151))))</f>
        <v>0</v>
      </c>
      <c r="L151" s="42" t="n">
        <f aca="false">AP151+MIN(AF151-AP151,MAX(0,'Start Here'!$B$10-SUM($AJ151:$AS151)-SUMPRODUCT(($Z$3:$AI$3&lt;AF$3)*($Z151:$AI151-$AJ151:$AS151))))</f>
        <v>0</v>
      </c>
      <c r="M151" s="42" t="n">
        <f aca="false">AQ151+MIN(AG151-AQ151,MAX(0,'Start Here'!$B$10-SUM($AJ151:$AS151)-SUMPRODUCT(($Z$3:$AI$3&lt;AG$3)*($Z151:$AI151-$AJ151:$AS151))))</f>
        <v>0</v>
      </c>
      <c r="N151" s="42" t="n">
        <f aca="false">AR151+MIN(AH151-AR151,MAX(0,'Start Here'!$B$10-SUM($AJ151:$AS151)-SUMPRODUCT(($Z$3:$AI$3&lt;AH$3)*($Z151:$AI151-$AJ151:$AS151))))</f>
        <v>0</v>
      </c>
      <c r="O151" s="42" t="n">
        <f aca="false">AS151+MIN(AI151-AS151,MAX(0,'Start Here'!$B$10-SUM($AJ151:$AS151)-SUMPRODUCT(($Z$3:$AI$3&lt;AI$3)*($Z151:$AI151-$AJ151:$AS151))))</f>
        <v>0</v>
      </c>
      <c r="P151" s="42" t="n">
        <f aca="false">ROUND(Z151-F151,2)</f>
        <v>0</v>
      </c>
      <c r="Q151" s="42" t="n">
        <f aca="false">ROUND(AA151-G151,2)</f>
        <v>0</v>
      </c>
      <c r="R151" s="42" t="n">
        <f aca="false">ROUND(AB151-H151,2)</f>
        <v>0</v>
      </c>
      <c r="S151" s="42" t="n">
        <f aca="false">ROUND(AC151-I151,2)</f>
        <v>0</v>
      </c>
      <c r="T151" s="42" t="n">
        <f aca="false">ROUND(AD151-J151,2)</f>
        <v>0</v>
      </c>
      <c r="U151" s="42" t="n">
        <f aca="false">ROUND(AE151-K151,2)</f>
        <v>0</v>
      </c>
      <c r="V151" s="42" t="n">
        <f aca="false">ROUND(AF151-L151,2)</f>
        <v>0</v>
      </c>
      <c r="W151" s="42" t="n">
        <f aca="false">ROUND(AG151-M151,2)</f>
        <v>0</v>
      </c>
      <c r="X151" s="42" t="n">
        <f aca="false">ROUND(AH151-N151,2)</f>
        <v>0</v>
      </c>
      <c r="Y151" s="42" t="n">
        <f aca="false">ROUND(AI151-O151,2)</f>
        <v>0</v>
      </c>
      <c r="Z151" s="56" t="n">
        <f aca="false">ROUND(P150*(1+N(Debts!$D$5)/12),2)</f>
        <v>0</v>
      </c>
      <c r="AA151" s="56" t="n">
        <f aca="false">ROUND(Q150*(1+N(Debts!$D$6)/12),2)</f>
        <v>0</v>
      </c>
      <c r="AB151" s="56" t="n">
        <f aca="false">ROUND(R150*(1+N(Debts!$D$7)/12),2)</f>
        <v>0</v>
      </c>
      <c r="AC151" s="56" t="n">
        <f aca="false">ROUND(S150*(1+N(Debts!$D$8)/12),2)</f>
        <v>0</v>
      </c>
      <c r="AD151" s="56" t="n">
        <f aca="false">ROUND(T150*(1+N(Debts!$D$9)/12),2)</f>
        <v>0</v>
      </c>
      <c r="AE151" s="56" t="n">
        <f aca="false">ROUND(U150*(1+N(Debts!$D$10)/12),2)</f>
        <v>0</v>
      </c>
      <c r="AF151" s="56" t="n">
        <f aca="false">ROUND(V150*(1+N(Debts!$D$11)/12),2)</f>
        <v>0</v>
      </c>
      <c r="AG151" s="56" t="n">
        <f aca="false">ROUND(W150*(1+N(Debts!$D$12)/12),2)</f>
        <v>0</v>
      </c>
      <c r="AH151" s="56" t="n">
        <f aca="false">ROUND(X150*(1+N(Debts!$D$13)/12),2)</f>
        <v>0</v>
      </c>
      <c r="AI151" s="56" t="n">
        <f aca="false">ROUND(Y150*(1+N(Debts!$D$14)/12),2)</f>
        <v>0</v>
      </c>
      <c r="AJ151" s="56" t="n">
        <f aca="false">MIN(Z151,MAX(0,N(Debts!$E$5)))</f>
        <v>0</v>
      </c>
      <c r="AK151" s="56" t="n">
        <f aca="false">MIN(AA151,MAX(0,N(Debts!$E$6)))</f>
        <v>0</v>
      </c>
      <c r="AL151" s="56" t="n">
        <f aca="false">MIN(AB151,MAX(0,N(Debts!$E$7)))</f>
        <v>0</v>
      </c>
      <c r="AM151" s="56" t="n">
        <f aca="false">MIN(AC151,MAX(0,N(Debts!$E$8)))</f>
        <v>0</v>
      </c>
      <c r="AN151" s="56" t="n">
        <f aca="false">MIN(AD151,MAX(0,N(Debts!$E$9)))</f>
        <v>0</v>
      </c>
      <c r="AO151" s="56" t="n">
        <f aca="false">MIN(AE151,MAX(0,N(Debts!$E$10)))</f>
        <v>0</v>
      </c>
      <c r="AP151" s="56" t="n">
        <f aca="false">MIN(AF151,MAX(0,N(Debts!$E$11)))</f>
        <v>0</v>
      </c>
      <c r="AQ151" s="56" t="n">
        <f aca="false">MIN(AG151,MAX(0,N(Debts!$E$12)))</f>
        <v>0</v>
      </c>
      <c r="AR151" s="56" t="n">
        <f aca="false">MIN(AH151,MAX(0,N(Debts!$E$13)))</f>
        <v>0</v>
      </c>
      <c r="AS151" s="56" t="n">
        <f aca="false">MIN(AI151,MAX(0,N(Debts!$E$14)))</f>
        <v>0</v>
      </c>
    </row>
    <row r="152" customFormat="false" ht="15" hidden="false" customHeight="false" outlineLevel="0" collapsed="false">
      <c r="A152" s="53" t="n">
        <v>148</v>
      </c>
      <c r="B152" s="54" t="n">
        <f aca="false">EDATE('Start Here'!$B$8,147)</f>
        <v>50802</v>
      </c>
      <c r="C152" s="42" t="n">
        <f aca="false">SUM(F152:O152)</f>
        <v>0</v>
      </c>
      <c r="D152" s="42" t="n">
        <f aca="false">ROUND(SUM($Z152:$AI152)-SUM(P151:Y151),2)</f>
        <v>0</v>
      </c>
      <c r="E152" s="55" t="n">
        <f aca="false">SUM(P152:Y152)</f>
        <v>0</v>
      </c>
      <c r="F152" s="42" t="n">
        <f aca="false">AJ152+MIN(Z152-AJ152,MAX(0,'Start Here'!$B$10-SUM($AJ152:$AS152)-SUMPRODUCT(($Z$3:$AI$3&lt;Z$3)*($Z152:$AI152-$AJ152:$AS152))))</f>
        <v>0</v>
      </c>
      <c r="G152" s="42" t="n">
        <f aca="false">AK152+MIN(AA152-AK152,MAX(0,'Start Here'!$B$10-SUM($AJ152:$AS152)-SUMPRODUCT(($Z$3:$AI$3&lt;AA$3)*($Z152:$AI152-$AJ152:$AS152))))</f>
        <v>0</v>
      </c>
      <c r="H152" s="42" t="n">
        <f aca="false">AL152+MIN(AB152-AL152,MAX(0,'Start Here'!$B$10-SUM($AJ152:$AS152)-SUMPRODUCT(($Z$3:$AI$3&lt;AB$3)*($Z152:$AI152-$AJ152:$AS152))))</f>
        <v>0</v>
      </c>
      <c r="I152" s="42" t="n">
        <f aca="false">AM152+MIN(AC152-AM152,MAX(0,'Start Here'!$B$10-SUM($AJ152:$AS152)-SUMPRODUCT(($Z$3:$AI$3&lt;AC$3)*($Z152:$AI152-$AJ152:$AS152))))</f>
        <v>0</v>
      </c>
      <c r="J152" s="42" t="n">
        <f aca="false">AN152+MIN(AD152-AN152,MAX(0,'Start Here'!$B$10-SUM($AJ152:$AS152)-SUMPRODUCT(($Z$3:$AI$3&lt;AD$3)*($Z152:$AI152-$AJ152:$AS152))))</f>
        <v>0</v>
      </c>
      <c r="K152" s="42" t="n">
        <f aca="false">AO152+MIN(AE152-AO152,MAX(0,'Start Here'!$B$10-SUM($AJ152:$AS152)-SUMPRODUCT(($Z$3:$AI$3&lt;AE$3)*($Z152:$AI152-$AJ152:$AS152))))</f>
        <v>0</v>
      </c>
      <c r="L152" s="42" t="n">
        <f aca="false">AP152+MIN(AF152-AP152,MAX(0,'Start Here'!$B$10-SUM($AJ152:$AS152)-SUMPRODUCT(($Z$3:$AI$3&lt;AF$3)*($Z152:$AI152-$AJ152:$AS152))))</f>
        <v>0</v>
      </c>
      <c r="M152" s="42" t="n">
        <f aca="false">AQ152+MIN(AG152-AQ152,MAX(0,'Start Here'!$B$10-SUM($AJ152:$AS152)-SUMPRODUCT(($Z$3:$AI$3&lt;AG$3)*($Z152:$AI152-$AJ152:$AS152))))</f>
        <v>0</v>
      </c>
      <c r="N152" s="42" t="n">
        <f aca="false">AR152+MIN(AH152-AR152,MAX(0,'Start Here'!$B$10-SUM($AJ152:$AS152)-SUMPRODUCT(($Z$3:$AI$3&lt;AH$3)*($Z152:$AI152-$AJ152:$AS152))))</f>
        <v>0</v>
      </c>
      <c r="O152" s="42" t="n">
        <f aca="false">AS152+MIN(AI152-AS152,MAX(0,'Start Here'!$B$10-SUM($AJ152:$AS152)-SUMPRODUCT(($Z$3:$AI$3&lt;AI$3)*($Z152:$AI152-$AJ152:$AS152))))</f>
        <v>0</v>
      </c>
      <c r="P152" s="42" t="n">
        <f aca="false">ROUND(Z152-F152,2)</f>
        <v>0</v>
      </c>
      <c r="Q152" s="42" t="n">
        <f aca="false">ROUND(AA152-G152,2)</f>
        <v>0</v>
      </c>
      <c r="R152" s="42" t="n">
        <f aca="false">ROUND(AB152-H152,2)</f>
        <v>0</v>
      </c>
      <c r="S152" s="42" t="n">
        <f aca="false">ROUND(AC152-I152,2)</f>
        <v>0</v>
      </c>
      <c r="T152" s="42" t="n">
        <f aca="false">ROUND(AD152-J152,2)</f>
        <v>0</v>
      </c>
      <c r="U152" s="42" t="n">
        <f aca="false">ROUND(AE152-K152,2)</f>
        <v>0</v>
      </c>
      <c r="V152" s="42" t="n">
        <f aca="false">ROUND(AF152-L152,2)</f>
        <v>0</v>
      </c>
      <c r="W152" s="42" t="n">
        <f aca="false">ROUND(AG152-M152,2)</f>
        <v>0</v>
      </c>
      <c r="X152" s="42" t="n">
        <f aca="false">ROUND(AH152-N152,2)</f>
        <v>0</v>
      </c>
      <c r="Y152" s="42" t="n">
        <f aca="false">ROUND(AI152-O152,2)</f>
        <v>0</v>
      </c>
      <c r="Z152" s="56" t="n">
        <f aca="false">ROUND(P151*(1+N(Debts!$D$5)/12),2)</f>
        <v>0</v>
      </c>
      <c r="AA152" s="56" t="n">
        <f aca="false">ROUND(Q151*(1+N(Debts!$D$6)/12),2)</f>
        <v>0</v>
      </c>
      <c r="AB152" s="56" t="n">
        <f aca="false">ROUND(R151*(1+N(Debts!$D$7)/12),2)</f>
        <v>0</v>
      </c>
      <c r="AC152" s="56" t="n">
        <f aca="false">ROUND(S151*(1+N(Debts!$D$8)/12),2)</f>
        <v>0</v>
      </c>
      <c r="AD152" s="56" t="n">
        <f aca="false">ROUND(T151*(1+N(Debts!$D$9)/12),2)</f>
        <v>0</v>
      </c>
      <c r="AE152" s="56" t="n">
        <f aca="false">ROUND(U151*(1+N(Debts!$D$10)/12),2)</f>
        <v>0</v>
      </c>
      <c r="AF152" s="56" t="n">
        <f aca="false">ROUND(V151*(1+N(Debts!$D$11)/12),2)</f>
        <v>0</v>
      </c>
      <c r="AG152" s="56" t="n">
        <f aca="false">ROUND(W151*(1+N(Debts!$D$12)/12),2)</f>
        <v>0</v>
      </c>
      <c r="AH152" s="56" t="n">
        <f aca="false">ROUND(X151*(1+N(Debts!$D$13)/12),2)</f>
        <v>0</v>
      </c>
      <c r="AI152" s="56" t="n">
        <f aca="false">ROUND(Y151*(1+N(Debts!$D$14)/12),2)</f>
        <v>0</v>
      </c>
      <c r="AJ152" s="56" t="n">
        <f aca="false">MIN(Z152,MAX(0,N(Debts!$E$5)))</f>
        <v>0</v>
      </c>
      <c r="AK152" s="56" t="n">
        <f aca="false">MIN(AA152,MAX(0,N(Debts!$E$6)))</f>
        <v>0</v>
      </c>
      <c r="AL152" s="56" t="n">
        <f aca="false">MIN(AB152,MAX(0,N(Debts!$E$7)))</f>
        <v>0</v>
      </c>
      <c r="AM152" s="56" t="n">
        <f aca="false">MIN(AC152,MAX(0,N(Debts!$E$8)))</f>
        <v>0</v>
      </c>
      <c r="AN152" s="56" t="n">
        <f aca="false">MIN(AD152,MAX(0,N(Debts!$E$9)))</f>
        <v>0</v>
      </c>
      <c r="AO152" s="56" t="n">
        <f aca="false">MIN(AE152,MAX(0,N(Debts!$E$10)))</f>
        <v>0</v>
      </c>
      <c r="AP152" s="56" t="n">
        <f aca="false">MIN(AF152,MAX(0,N(Debts!$E$11)))</f>
        <v>0</v>
      </c>
      <c r="AQ152" s="56" t="n">
        <f aca="false">MIN(AG152,MAX(0,N(Debts!$E$12)))</f>
        <v>0</v>
      </c>
      <c r="AR152" s="56" t="n">
        <f aca="false">MIN(AH152,MAX(0,N(Debts!$E$13)))</f>
        <v>0</v>
      </c>
      <c r="AS152" s="56" t="n">
        <f aca="false">MIN(AI152,MAX(0,N(Debts!$E$14)))</f>
        <v>0</v>
      </c>
    </row>
    <row r="153" customFormat="false" ht="15" hidden="false" customHeight="false" outlineLevel="0" collapsed="false">
      <c r="A153" s="53" t="n">
        <v>149</v>
      </c>
      <c r="B153" s="54" t="n">
        <f aca="false">EDATE('Start Here'!$B$8,148)</f>
        <v>50830</v>
      </c>
      <c r="C153" s="42" t="n">
        <f aca="false">SUM(F153:O153)</f>
        <v>0</v>
      </c>
      <c r="D153" s="42" t="n">
        <f aca="false">ROUND(SUM($Z153:$AI153)-SUM(P152:Y152),2)</f>
        <v>0</v>
      </c>
      <c r="E153" s="55" t="n">
        <f aca="false">SUM(P153:Y153)</f>
        <v>0</v>
      </c>
      <c r="F153" s="42" t="n">
        <f aca="false">AJ153+MIN(Z153-AJ153,MAX(0,'Start Here'!$B$10-SUM($AJ153:$AS153)-SUMPRODUCT(($Z$3:$AI$3&lt;Z$3)*($Z153:$AI153-$AJ153:$AS153))))</f>
        <v>0</v>
      </c>
      <c r="G153" s="42" t="n">
        <f aca="false">AK153+MIN(AA153-AK153,MAX(0,'Start Here'!$B$10-SUM($AJ153:$AS153)-SUMPRODUCT(($Z$3:$AI$3&lt;AA$3)*($Z153:$AI153-$AJ153:$AS153))))</f>
        <v>0</v>
      </c>
      <c r="H153" s="42" t="n">
        <f aca="false">AL153+MIN(AB153-AL153,MAX(0,'Start Here'!$B$10-SUM($AJ153:$AS153)-SUMPRODUCT(($Z$3:$AI$3&lt;AB$3)*($Z153:$AI153-$AJ153:$AS153))))</f>
        <v>0</v>
      </c>
      <c r="I153" s="42" t="n">
        <f aca="false">AM153+MIN(AC153-AM153,MAX(0,'Start Here'!$B$10-SUM($AJ153:$AS153)-SUMPRODUCT(($Z$3:$AI$3&lt;AC$3)*($Z153:$AI153-$AJ153:$AS153))))</f>
        <v>0</v>
      </c>
      <c r="J153" s="42" t="n">
        <f aca="false">AN153+MIN(AD153-AN153,MAX(0,'Start Here'!$B$10-SUM($AJ153:$AS153)-SUMPRODUCT(($Z$3:$AI$3&lt;AD$3)*($Z153:$AI153-$AJ153:$AS153))))</f>
        <v>0</v>
      </c>
      <c r="K153" s="42" t="n">
        <f aca="false">AO153+MIN(AE153-AO153,MAX(0,'Start Here'!$B$10-SUM($AJ153:$AS153)-SUMPRODUCT(($Z$3:$AI$3&lt;AE$3)*($Z153:$AI153-$AJ153:$AS153))))</f>
        <v>0</v>
      </c>
      <c r="L153" s="42" t="n">
        <f aca="false">AP153+MIN(AF153-AP153,MAX(0,'Start Here'!$B$10-SUM($AJ153:$AS153)-SUMPRODUCT(($Z$3:$AI$3&lt;AF$3)*($Z153:$AI153-$AJ153:$AS153))))</f>
        <v>0</v>
      </c>
      <c r="M153" s="42" t="n">
        <f aca="false">AQ153+MIN(AG153-AQ153,MAX(0,'Start Here'!$B$10-SUM($AJ153:$AS153)-SUMPRODUCT(($Z$3:$AI$3&lt;AG$3)*($Z153:$AI153-$AJ153:$AS153))))</f>
        <v>0</v>
      </c>
      <c r="N153" s="42" t="n">
        <f aca="false">AR153+MIN(AH153-AR153,MAX(0,'Start Here'!$B$10-SUM($AJ153:$AS153)-SUMPRODUCT(($Z$3:$AI$3&lt;AH$3)*($Z153:$AI153-$AJ153:$AS153))))</f>
        <v>0</v>
      </c>
      <c r="O153" s="42" t="n">
        <f aca="false">AS153+MIN(AI153-AS153,MAX(0,'Start Here'!$B$10-SUM($AJ153:$AS153)-SUMPRODUCT(($Z$3:$AI$3&lt;AI$3)*($Z153:$AI153-$AJ153:$AS153))))</f>
        <v>0</v>
      </c>
      <c r="P153" s="42" t="n">
        <f aca="false">ROUND(Z153-F153,2)</f>
        <v>0</v>
      </c>
      <c r="Q153" s="42" t="n">
        <f aca="false">ROUND(AA153-G153,2)</f>
        <v>0</v>
      </c>
      <c r="R153" s="42" t="n">
        <f aca="false">ROUND(AB153-H153,2)</f>
        <v>0</v>
      </c>
      <c r="S153" s="42" t="n">
        <f aca="false">ROUND(AC153-I153,2)</f>
        <v>0</v>
      </c>
      <c r="T153" s="42" t="n">
        <f aca="false">ROUND(AD153-J153,2)</f>
        <v>0</v>
      </c>
      <c r="U153" s="42" t="n">
        <f aca="false">ROUND(AE153-K153,2)</f>
        <v>0</v>
      </c>
      <c r="V153" s="42" t="n">
        <f aca="false">ROUND(AF153-L153,2)</f>
        <v>0</v>
      </c>
      <c r="W153" s="42" t="n">
        <f aca="false">ROUND(AG153-M153,2)</f>
        <v>0</v>
      </c>
      <c r="X153" s="42" t="n">
        <f aca="false">ROUND(AH153-N153,2)</f>
        <v>0</v>
      </c>
      <c r="Y153" s="42" t="n">
        <f aca="false">ROUND(AI153-O153,2)</f>
        <v>0</v>
      </c>
      <c r="Z153" s="56" t="n">
        <f aca="false">ROUND(P152*(1+N(Debts!$D$5)/12),2)</f>
        <v>0</v>
      </c>
      <c r="AA153" s="56" t="n">
        <f aca="false">ROUND(Q152*(1+N(Debts!$D$6)/12),2)</f>
        <v>0</v>
      </c>
      <c r="AB153" s="56" t="n">
        <f aca="false">ROUND(R152*(1+N(Debts!$D$7)/12),2)</f>
        <v>0</v>
      </c>
      <c r="AC153" s="56" t="n">
        <f aca="false">ROUND(S152*(1+N(Debts!$D$8)/12),2)</f>
        <v>0</v>
      </c>
      <c r="AD153" s="56" t="n">
        <f aca="false">ROUND(T152*(1+N(Debts!$D$9)/12),2)</f>
        <v>0</v>
      </c>
      <c r="AE153" s="56" t="n">
        <f aca="false">ROUND(U152*(1+N(Debts!$D$10)/12),2)</f>
        <v>0</v>
      </c>
      <c r="AF153" s="56" t="n">
        <f aca="false">ROUND(V152*(1+N(Debts!$D$11)/12),2)</f>
        <v>0</v>
      </c>
      <c r="AG153" s="56" t="n">
        <f aca="false">ROUND(W152*(1+N(Debts!$D$12)/12),2)</f>
        <v>0</v>
      </c>
      <c r="AH153" s="56" t="n">
        <f aca="false">ROUND(X152*(1+N(Debts!$D$13)/12),2)</f>
        <v>0</v>
      </c>
      <c r="AI153" s="56" t="n">
        <f aca="false">ROUND(Y152*(1+N(Debts!$D$14)/12),2)</f>
        <v>0</v>
      </c>
      <c r="AJ153" s="56" t="n">
        <f aca="false">MIN(Z153,MAX(0,N(Debts!$E$5)))</f>
        <v>0</v>
      </c>
      <c r="AK153" s="56" t="n">
        <f aca="false">MIN(AA153,MAX(0,N(Debts!$E$6)))</f>
        <v>0</v>
      </c>
      <c r="AL153" s="56" t="n">
        <f aca="false">MIN(AB153,MAX(0,N(Debts!$E$7)))</f>
        <v>0</v>
      </c>
      <c r="AM153" s="56" t="n">
        <f aca="false">MIN(AC153,MAX(0,N(Debts!$E$8)))</f>
        <v>0</v>
      </c>
      <c r="AN153" s="56" t="n">
        <f aca="false">MIN(AD153,MAX(0,N(Debts!$E$9)))</f>
        <v>0</v>
      </c>
      <c r="AO153" s="56" t="n">
        <f aca="false">MIN(AE153,MAX(0,N(Debts!$E$10)))</f>
        <v>0</v>
      </c>
      <c r="AP153" s="56" t="n">
        <f aca="false">MIN(AF153,MAX(0,N(Debts!$E$11)))</f>
        <v>0</v>
      </c>
      <c r="AQ153" s="56" t="n">
        <f aca="false">MIN(AG153,MAX(0,N(Debts!$E$12)))</f>
        <v>0</v>
      </c>
      <c r="AR153" s="56" t="n">
        <f aca="false">MIN(AH153,MAX(0,N(Debts!$E$13)))</f>
        <v>0</v>
      </c>
      <c r="AS153" s="56" t="n">
        <f aca="false">MIN(AI153,MAX(0,N(Debts!$E$14)))</f>
        <v>0</v>
      </c>
    </row>
    <row r="154" customFormat="false" ht="15" hidden="false" customHeight="false" outlineLevel="0" collapsed="false">
      <c r="A154" s="53" t="n">
        <v>150</v>
      </c>
      <c r="B154" s="54" t="n">
        <f aca="false">EDATE('Start Here'!$B$8,149)</f>
        <v>50861</v>
      </c>
      <c r="C154" s="42" t="n">
        <f aca="false">SUM(F154:O154)</f>
        <v>0</v>
      </c>
      <c r="D154" s="42" t="n">
        <f aca="false">ROUND(SUM($Z154:$AI154)-SUM(P153:Y153),2)</f>
        <v>0</v>
      </c>
      <c r="E154" s="55" t="n">
        <f aca="false">SUM(P154:Y154)</f>
        <v>0</v>
      </c>
      <c r="F154" s="42" t="n">
        <f aca="false">AJ154+MIN(Z154-AJ154,MAX(0,'Start Here'!$B$10-SUM($AJ154:$AS154)-SUMPRODUCT(($Z$3:$AI$3&lt;Z$3)*($Z154:$AI154-$AJ154:$AS154))))</f>
        <v>0</v>
      </c>
      <c r="G154" s="42" t="n">
        <f aca="false">AK154+MIN(AA154-AK154,MAX(0,'Start Here'!$B$10-SUM($AJ154:$AS154)-SUMPRODUCT(($Z$3:$AI$3&lt;AA$3)*($Z154:$AI154-$AJ154:$AS154))))</f>
        <v>0</v>
      </c>
      <c r="H154" s="42" t="n">
        <f aca="false">AL154+MIN(AB154-AL154,MAX(0,'Start Here'!$B$10-SUM($AJ154:$AS154)-SUMPRODUCT(($Z$3:$AI$3&lt;AB$3)*($Z154:$AI154-$AJ154:$AS154))))</f>
        <v>0</v>
      </c>
      <c r="I154" s="42" t="n">
        <f aca="false">AM154+MIN(AC154-AM154,MAX(0,'Start Here'!$B$10-SUM($AJ154:$AS154)-SUMPRODUCT(($Z$3:$AI$3&lt;AC$3)*($Z154:$AI154-$AJ154:$AS154))))</f>
        <v>0</v>
      </c>
      <c r="J154" s="42" t="n">
        <f aca="false">AN154+MIN(AD154-AN154,MAX(0,'Start Here'!$B$10-SUM($AJ154:$AS154)-SUMPRODUCT(($Z$3:$AI$3&lt;AD$3)*($Z154:$AI154-$AJ154:$AS154))))</f>
        <v>0</v>
      </c>
      <c r="K154" s="42" t="n">
        <f aca="false">AO154+MIN(AE154-AO154,MAX(0,'Start Here'!$B$10-SUM($AJ154:$AS154)-SUMPRODUCT(($Z$3:$AI$3&lt;AE$3)*($Z154:$AI154-$AJ154:$AS154))))</f>
        <v>0</v>
      </c>
      <c r="L154" s="42" t="n">
        <f aca="false">AP154+MIN(AF154-AP154,MAX(0,'Start Here'!$B$10-SUM($AJ154:$AS154)-SUMPRODUCT(($Z$3:$AI$3&lt;AF$3)*($Z154:$AI154-$AJ154:$AS154))))</f>
        <v>0</v>
      </c>
      <c r="M154" s="42" t="n">
        <f aca="false">AQ154+MIN(AG154-AQ154,MAX(0,'Start Here'!$B$10-SUM($AJ154:$AS154)-SUMPRODUCT(($Z$3:$AI$3&lt;AG$3)*($Z154:$AI154-$AJ154:$AS154))))</f>
        <v>0</v>
      </c>
      <c r="N154" s="42" t="n">
        <f aca="false">AR154+MIN(AH154-AR154,MAX(0,'Start Here'!$B$10-SUM($AJ154:$AS154)-SUMPRODUCT(($Z$3:$AI$3&lt;AH$3)*($Z154:$AI154-$AJ154:$AS154))))</f>
        <v>0</v>
      </c>
      <c r="O154" s="42" t="n">
        <f aca="false">AS154+MIN(AI154-AS154,MAX(0,'Start Here'!$B$10-SUM($AJ154:$AS154)-SUMPRODUCT(($Z$3:$AI$3&lt;AI$3)*($Z154:$AI154-$AJ154:$AS154))))</f>
        <v>0</v>
      </c>
      <c r="P154" s="42" t="n">
        <f aca="false">ROUND(Z154-F154,2)</f>
        <v>0</v>
      </c>
      <c r="Q154" s="42" t="n">
        <f aca="false">ROUND(AA154-G154,2)</f>
        <v>0</v>
      </c>
      <c r="R154" s="42" t="n">
        <f aca="false">ROUND(AB154-H154,2)</f>
        <v>0</v>
      </c>
      <c r="S154" s="42" t="n">
        <f aca="false">ROUND(AC154-I154,2)</f>
        <v>0</v>
      </c>
      <c r="T154" s="42" t="n">
        <f aca="false">ROUND(AD154-J154,2)</f>
        <v>0</v>
      </c>
      <c r="U154" s="42" t="n">
        <f aca="false">ROUND(AE154-K154,2)</f>
        <v>0</v>
      </c>
      <c r="V154" s="42" t="n">
        <f aca="false">ROUND(AF154-L154,2)</f>
        <v>0</v>
      </c>
      <c r="W154" s="42" t="n">
        <f aca="false">ROUND(AG154-M154,2)</f>
        <v>0</v>
      </c>
      <c r="X154" s="42" t="n">
        <f aca="false">ROUND(AH154-N154,2)</f>
        <v>0</v>
      </c>
      <c r="Y154" s="42" t="n">
        <f aca="false">ROUND(AI154-O154,2)</f>
        <v>0</v>
      </c>
      <c r="Z154" s="56" t="n">
        <f aca="false">ROUND(P153*(1+N(Debts!$D$5)/12),2)</f>
        <v>0</v>
      </c>
      <c r="AA154" s="56" t="n">
        <f aca="false">ROUND(Q153*(1+N(Debts!$D$6)/12),2)</f>
        <v>0</v>
      </c>
      <c r="AB154" s="56" t="n">
        <f aca="false">ROUND(R153*(1+N(Debts!$D$7)/12),2)</f>
        <v>0</v>
      </c>
      <c r="AC154" s="56" t="n">
        <f aca="false">ROUND(S153*(1+N(Debts!$D$8)/12),2)</f>
        <v>0</v>
      </c>
      <c r="AD154" s="56" t="n">
        <f aca="false">ROUND(T153*(1+N(Debts!$D$9)/12),2)</f>
        <v>0</v>
      </c>
      <c r="AE154" s="56" t="n">
        <f aca="false">ROUND(U153*(1+N(Debts!$D$10)/12),2)</f>
        <v>0</v>
      </c>
      <c r="AF154" s="56" t="n">
        <f aca="false">ROUND(V153*(1+N(Debts!$D$11)/12),2)</f>
        <v>0</v>
      </c>
      <c r="AG154" s="56" t="n">
        <f aca="false">ROUND(W153*(1+N(Debts!$D$12)/12),2)</f>
        <v>0</v>
      </c>
      <c r="AH154" s="56" t="n">
        <f aca="false">ROUND(X153*(1+N(Debts!$D$13)/12),2)</f>
        <v>0</v>
      </c>
      <c r="AI154" s="56" t="n">
        <f aca="false">ROUND(Y153*(1+N(Debts!$D$14)/12),2)</f>
        <v>0</v>
      </c>
      <c r="AJ154" s="56" t="n">
        <f aca="false">MIN(Z154,MAX(0,N(Debts!$E$5)))</f>
        <v>0</v>
      </c>
      <c r="AK154" s="56" t="n">
        <f aca="false">MIN(AA154,MAX(0,N(Debts!$E$6)))</f>
        <v>0</v>
      </c>
      <c r="AL154" s="56" t="n">
        <f aca="false">MIN(AB154,MAX(0,N(Debts!$E$7)))</f>
        <v>0</v>
      </c>
      <c r="AM154" s="56" t="n">
        <f aca="false">MIN(AC154,MAX(0,N(Debts!$E$8)))</f>
        <v>0</v>
      </c>
      <c r="AN154" s="56" t="n">
        <f aca="false">MIN(AD154,MAX(0,N(Debts!$E$9)))</f>
        <v>0</v>
      </c>
      <c r="AO154" s="56" t="n">
        <f aca="false">MIN(AE154,MAX(0,N(Debts!$E$10)))</f>
        <v>0</v>
      </c>
      <c r="AP154" s="56" t="n">
        <f aca="false">MIN(AF154,MAX(0,N(Debts!$E$11)))</f>
        <v>0</v>
      </c>
      <c r="AQ154" s="56" t="n">
        <f aca="false">MIN(AG154,MAX(0,N(Debts!$E$12)))</f>
        <v>0</v>
      </c>
      <c r="AR154" s="56" t="n">
        <f aca="false">MIN(AH154,MAX(0,N(Debts!$E$13)))</f>
        <v>0</v>
      </c>
      <c r="AS154" s="56" t="n">
        <f aca="false">MIN(AI154,MAX(0,N(Debts!$E$14)))</f>
        <v>0</v>
      </c>
    </row>
    <row r="155" customFormat="false" ht="15" hidden="false" customHeight="false" outlineLevel="0" collapsed="false">
      <c r="A155" s="53" t="n">
        <v>151</v>
      </c>
      <c r="B155" s="54" t="n">
        <f aca="false">EDATE('Start Here'!$B$8,150)</f>
        <v>50891</v>
      </c>
      <c r="C155" s="42" t="n">
        <f aca="false">SUM(F155:O155)</f>
        <v>0</v>
      </c>
      <c r="D155" s="42" t="n">
        <f aca="false">ROUND(SUM($Z155:$AI155)-SUM(P154:Y154),2)</f>
        <v>0</v>
      </c>
      <c r="E155" s="55" t="n">
        <f aca="false">SUM(P155:Y155)</f>
        <v>0</v>
      </c>
      <c r="F155" s="42" t="n">
        <f aca="false">AJ155+MIN(Z155-AJ155,MAX(0,'Start Here'!$B$10-SUM($AJ155:$AS155)-SUMPRODUCT(($Z$3:$AI$3&lt;Z$3)*($Z155:$AI155-$AJ155:$AS155))))</f>
        <v>0</v>
      </c>
      <c r="G155" s="42" t="n">
        <f aca="false">AK155+MIN(AA155-AK155,MAX(0,'Start Here'!$B$10-SUM($AJ155:$AS155)-SUMPRODUCT(($Z$3:$AI$3&lt;AA$3)*($Z155:$AI155-$AJ155:$AS155))))</f>
        <v>0</v>
      </c>
      <c r="H155" s="42" t="n">
        <f aca="false">AL155+MIN(AB155-AL155,MAX(0,'Start Here'!$B$10-SUM($AJ155:$AS155)-SUMPRODUCT(($Z$3:$AI$3&lt;AB$3)*($Z155:$AI155-$AJ155:$AS155))))</f>
        <v>0</v>
      </c>
      <c r="I155" s="42" t="n">
        <f aca="false">AM155+MIN(AC155-AM155,MAX(0,'Start Here'!$B$10-SUM($AJ155:$AS155)-SUMPRODUCT(($Z$3:$AI$3&lt;AC$3)*($Z155:$AI155-$AJ155:$AS155))))</f>
        <v>0</v>
      </c>
      <c r="J155" s="42" t="n">
        <f aca="false">AN155+MIN(AD155-AN155,MAX(0,'Start Here'!$B$10-SUM($AJ155:$AS155)-SUMPRODUCT(($Z$3:$AI$3&lt;AD$3)*($Z155:$AI155-$AJ155:$AS155))))</f>
        <v>0</v>
      </c>
      <c r="K155" s="42" t="n">
        <f aca="false">AO155+MIN(AE155-AO155,MAX(0,'Start Here'!$B$10-SUM($AJ155:$AS155)-SUMPRODUCT(($Z$3:$AI$3&lt;AE$3)*($Z155:$AI155-$AJ155:$AS155))))</f>
        <v>0</v>
      </c>
      <c r="L155" s="42" t="n">
        <f aca="false">AP155+MIN(AF155-AP155,MAX(0,'Start Here'!$B$10-SUM($AJ155:$AS155)-SUMPRODUCT(($Z$3:$AI$3&lt;AF$3)*($Z155:$AI155-$AJ155:$AS155))))</f>
        <v>0</v>
      </c>
      <c r="M155" s="42" t="n">
        <f aca="false">AQ155+MIN(AG155-AQ155,MAX(0,'Start Here'!$B$10-SUM($AJ155:$AS155)-SUMPRODUCT(($Z$3:$AI$3&lt;AG$3)*($Z155:$AI155-$AJ155:$AS155))))</f>
        <v>0</v>
      </c>
      <c r="N155" s="42" t="n">
        <f aca="false">AR155+MIN(AH155-AR155,MAX(0,'Start Here'!$B$10-SUM($AJ155:$AS155)-SUMPRODUCT(($Z$3:$AI$3&lt;AH$3)*($Z155:$AI155-$AJ155:$AS155))))</f>
        <v>0</v>
      </c>
      <c r="O155" s="42" t="n">
        <f aca="false">AS155+MIN(AI155-AS155,MAX(0,'Start Here'!$B$10-SUM($AJ155:$AS155)-SUMPRODUCT(($Z$3:$AI$3&lt;AI$3)*($Z155:$AI155-$AJ155:$AS155))))</f>
        <v>0</v>
      </c>
      <c r="P155" s="42" t="n">
        <f aca="false">ROUND(Z155-F155,2)</f>
        <v>0</v>
      </c>
      <c r="Q155" s="42" t="n">
        <f aca="false">ROUND(AA155-G155,2)</f>
        <v>0</v>
      </c>
      <c r="R155" s="42" t="n">
        <f aca="false">ROUND(AB155-H155,2)</f>
        <v>0</v>
      </c>
      <c r="S155" s="42" t="n">
        <f aca="false">ROUND(AC155-I155,2)</f>
        <v>0</v>
      </c>
      <c r="T155" s="42" t="n">
        <f aca="false">ROUND(AD155-J155,2)</f>
        <v>0</v>
      </c>
      <c r="U155" s="42" t="n">
        <f aca="false">ROUND(AE155-K155,2)</f>
        <v>0</v>
      </c>
      <c r="V155" s="42" t="n">
        <f aca="false">ROUND(AF155-L155,2)</f>
        <v>0</v>
      </c>
      <c r="W155" s="42" t="n">
        <f aca="false">ROUND(AG155-M155,2)</f>
        <v>0</v>
      </c>
      <c r="X155" s="42" t="n">
        <f aca="false">ROUND(AH155-N155,2)</f>
        <v>0</v>
      </c>
      <c r="Y155" s="42" t="n">
        <f aca="false">ROUND(AI155-O155,2)</f>
        <v>0</v>
      </c>
      <c r="Z155" s="56" t="n">
        <f aca="false">ROUND(P154*(1+N(Debts!$D$5)/12),2)</f>
        <v>0</v>
      </c>
      <c r="AA155" s="56" t="n">
        <f aca="false">ROUND(Q154*(1+N(Debts!$D$6)/12),2)</f>
        <v>0</v>
      </c>
      <c r="AB155" s="56" t="n">
        <f aca="false">ROUND(R154*(1+N(Debts!$D$7)/12),2)</f>
        <v>0</v>
      </c>
      <c r="AC155" s="56" t="n">
        <f aca="false">ROUND(S154*(1+N(Debts!$D$8)/12),2)</f>
        <v>0</v>
      </c>
      <c r="AD155" s="56" t="n">
        <f aca="false">ROUND(T154*(1+N(Debts!$D$9)/12),2)</f>
        <v>0</v>
      </c>
      <c r="AE155" s="56" t="n">
        <f aca="false">ROUND(U154*(1+N(Debts!$D$10)/12),2)</f>
        <v>0</v>
      </c>
      <c r="AF155" s="56" t="n">
        <f aca="false">ROUND(V154*(1+N(Debts!$D$11)/12),2)</f>
        <v>0</v>
      </c>
      <c r="AG155" s="56" t="n">
        <f aca="false">ROUND(W154*(1+N(Debts!$D$12)/12),2)</f>
        <v>0</v>
      </c>
      <c r="AH155" s="56" t="n">
        <f aca="false">ROUND(X154*(1+N(Debts!$D$13)/12),2)</f>
        <v>0</v>
      </c>
      <c r="AI155" s="56" t="n">
        <f aca="false">ROUND(Y154*(1+N(Debts!$D$14)/12),2)</f>
        <v>0</v>
      </c>
      <c r="AJ155" s="56" t="n">
        <f aca="false">MIN(Z155,MAX(0,N(Debts!$E$5)))</f>
        <v>0</v>
      </c>
      <c r="AK155" s="56" t="n">
        <f aca="false">MIN(AA155,MAX(0,N(Debts!$E$6)))</f>
        <v>0</v>
      </c>
      <c r="AL155" s="56" t="n">
        <f aca="false">MIN(AB155,MAX(0,N(Debts!$E$7)))</f>
        <v>0</v>
      </c>
      <c r="AM155" s="56" t="n">
        <f aca="false">MIN(AC155,MAX(0,N(Debts!$E$8)))</f>
        <v>0</v>
      </c>
      <c r="AN155" s="56" t="n">
        <f aca="false">MIN(AD155,MAX(0,N(Debts!$E$9)))</f>
        <v>0</v>
      </c>
      <c r="AO155" s="56" t="n">
        <f aca="false">MIN(AE155,MAX(0,N(Debts!$E$10)))</f>
        <v>0</v>
      </c>
      <c r="AP155" s="56" t="n">
        <f aca="false">MIN(AF155,MAX(0,N(Debts!$E$11)))</f>
        <v>0</v>
      </c>
      <c r="AQ155" s="56" t="n">
        <f aca="false">MIN(AG155,MAX(0,N(Debts!$E$12)))</f>
        <v>0</v>
      </c>
      <c r="AR155" s="56" t="n">
        <f aca="false">MIN(AH155,MAX(0,N(Debts!$E$13)))</f>
        <v>0</v>
      </c>
      <c r="AS155" s="56" t="n">
        <f aca="false">MIN(AI155,MAX(0,N(Debts!$E$14)))</f>
        <v>0</v>
      </c>
    </row>
    <row r="156" customFormat="false" ht="15" hidden="false" customHeight="false" outlineLevel="0" collapsed="false">
      <c r="A156" s="53" t="n">
        <v>152</v>
      </c>
      <c r="B156" s="54" t="n">
        <f aca="false">EDATE('Start Here'!$B$8,151)</f>
        <v>50922</v>
      </c>
      <c r="C156" s="42" t="n">
        <f aca="false">SUM(F156:O156)</f>
        <v>0</v>
      </c>
      <c r="D156" s="42" t="n">
        <f aca="false">ROUND(SUM($Z156:$AI156)-SUM(P155:Y155),2)</f>
        <v>0</v>
      </c>
      <c r="E156" s="55" t="n">
        <f aca="false">SUM(P156:Y156)</f>
        <v>0</v>
      </c>
      <c r="F156" s="42" t="n">
        <f aca="false">AJ156+MIN(Z156-AJ156,MAX(0,'Start Here'!$B$10-SUM($AJ156:$AS156)-SUMPRODUCT(($Z$3:$AI$3&lt;Z$3)*($Z156:$AI156-$AJ156:$AS156))))</f>
        <v>0</v>
      </c>
      <c r="G156" s="42" t="n">
        <f aca="false">AK156+MIN(AA156-AK156,MAX(0,'Start Here'!$B$10-SUM($AJ156:$AS156)-SUMPRODUCT(($Z$3:$AI$3&lt;AA$3)*($Z156:$AI156-$AJ156:$AS156))))</f>
        <v>0</v>
      </c>
      <c r="H156" s="42" t="n">
        <f aca="false">AL156+MIN(AB156-AL156,MAX(0,'Start Here'!$B$10-SUM($AJ156:$AS156)-SUMPRODUCT(($Z$3:$AI$3&lt;AB$3)*($Z156:$AI156-$AJ156:$AS156))))</f>
        <v>0</v>
      </c>
      <c r="I156" s="42" t="n">
        <f aca="false">AM156+MIN(AC156-AM156,MAX(0,'Start Here'!$B$10-SUM($AJ156:$AS156)-SUMPRODUCT(($Z$3:$AI$3&lt;AC$3)*($Z156:$AI156-$AJ156:$AS156))))</f>
        <v>0</v>
      </c>
      <c r="J156" s="42" t="n">
        <f aca="false">AN156+MIN(AD156-AN156,MAX(0,'Start Here'!$B$10-SUM($AJ156:$AS156)-SUMPRODUCT(($Z$3:$AI$3&lt;AD$3)*($Z156:$AI156-$AJ156:$AS156))))</f>
        <v>0</v>
      </c>
      <c r="K156" s="42" t="n">
        <f aca="false">AO156+MIN(AE156-AO156,MAX(0,'Start Here'!$B$10-SUM($AJ156:$AS156)-SUMPRODUCT(($Z$3:$AI$3&lt;AE$3)*($Z156:$AI156-$AJ156:$AS156))))</f>
        <v>0</v>
      </c>
      <c r="L156" s="42" t="n">
        <f aca="false">AP156+MIN(AF156-AP156,MAX(0,'Start Here'!$B$10-SUM($AJ156:$AS156)-SUMPRODUCT(($Z$3:$AI$3&lt;AF$3)*($Z156:$AI156-$AJ156:$AS156))))</f>
        <v>0</v>
      </c>
      <c r="M156" s="42" t="n">
        <f aca="false">AQ156+MIN(AG156-AQ156,MAX(0,'Start Here'!$B$10-SUM($AJ156:$AS156)-SUMPRODUCT(($Z$3:$AI$3&lt;AG$3)*($Z156:$AI156-$AJ156:$AS156))))</f>
        <v>0</v>
      </c>
      <c r="N156" s="42" t="n">
        <f aca="false">AR156+MIN(AH156-AR156,MAX(0,'Start Here'!$B$10-SUM($AJ156:$AS156)-SUMPRODUCT(($Z$3:$AI$3&lt;AH$3)*($Z156:$AI156-$AJ156:$AS156))))</f>
        <v>0</v>
      </c>
      <c r="O156" s="42" t="n">
        <f aca="false">AS156+MIN(AI156-AS156,MAX(0,'Start Here'!$B$10-SUM($AJ156:$AS156)-SUMPRODUCT(($Z$3:$AI$3&lt;AI$3)*($Z156:$AI156-$AJ156:$AS156))))</f>
        <v>0</v>
      </c>
      <c r="P156" s="42" t="n">
        <f aca="false">ROUND(Z156-F156,2)</f>
        <v>0</v>
      </c>
      <c r="Q156" s="42" t="n">
        <f aca="false">ROUND(AA156-G156,2)</f>
        <v>0</v>
      </c>
      <c r="R156" s="42" t="n">
        <f aca="false">ROUND(AB156-H156,2)</f>
        <v>0</v>
      </c>
      <c r="S156" s="42" t="n">
        <f aca="false">ROUND(AC156-I156,2)</f>
        <v>0</v>
      </c>
      <c r="T156" s="42" t="n">
        <f aca="false">ROUND(AD156-J156,2)</f>
        <v>0</v>
      </c>
      <c r="U156" s="42" t="n">
        <f aca="false">ROUND(AE156-K156,2)</f>
        <v>0</v>
      </c>
      <c r="V156" s="42" t="n">
        <f aca="false">ROUND(AF156-L156,2)</f>
        <v>0</v>
      </c>
      <c r="W156" s="42" t="n">
        <f aca="false">ROUND(AG156-M156,2)</f>
        <v>0</v>
      </c>
      <c r="X156" s="42" t="n">
        <f aca="false">ROUND(AH156-N156,2)</f>
        <v>0</v>
      </c>
      <c r="Y156" s="42" t="n">
        <f aca="false">ROUND(AI156-O156,2)</f>
        <v>0</v>
      </c>
      <c r="Z156" s="56" t="n">
        <f aca="false">ROUND(P155*(1+N(Debts!$D$5)/12),2)</f>
        <v>0</v>
      </c>
      <c r="AA156" s="56" t="n">
        <f aca="false">ROUND(Q155*(1+N(Debts!$D$6)/12),2)</f>
        <v>0</v>
      </c>
      <c r="AB156" s="56" t="n">
        <f aca="false">ROUND(R155*(1+N(Debts!$D$7)/12),2)</f>
        <v>0</v>
      </c>
      <c r="AC156" s="56" t="n">
        <f aca="false">ROUND(S155*(1+N(Debts!$D$8)/12),2)</f>
        <v>0</v>
      </c>
      <c r="AD156" s="56" t="n">
        <f aca="false">ROUND(T155*(1+N(Debts!$D$9)/12),2)</f>
        <v>0</v>
      </c>
      <c r="AE156" s="56" t="n">
        <f aca="false">ROUND(U155*(1+N(Debts!$D$10)/12),2)</f>
        <v>0</v>
      </c>
      <c r="AF156" s="56" t="n">
        <f aca="false">ROUND(V155*(1+N(Debts!$D$11)/12),2)</f>
        <v>0</v>
      </c>
      <c r="AG156" s="56" t="n">
        <f aca="false">ROUND(W155*(1+N(Debts!$D$12)/12),2)</f>
        <v>0</v>
      </c>
      <c r="AH156" s="56" t="n">
        <f aca="false">ROUND(X155*(1+N(Debts!$D$13)/12),2)</f>
        <v>0</v>
      </c>
      <c r="AI156" s="56" t="n">
        <f aca="false">ROUND(Y155*(1+N(Debts!$D$14)/12),2)</f>
        <v>0</v>
      </c>
      <c r="AJ156" s="56" t="n">
        <f aca="false">MIN(Z156,MAX(0,N(Debts!$E$5)))</f>
        <v>0</v>
      </c>
      <c r="AK156" s="56" t="n">
        <f aca="false">MIN(AA156,MAX(0,N(Debts!$E$6)))</f>
        <v>0</v>
      </c>
      <c r="AL156" s="56" t="n">
        <f aca="false">MIN(AB156,MAX(0,N(Debts!$E$7)))</f>
        <v>0</v>
      </c>
      <c r="AM156" s="56" t="n">
        <f aca="false">MIN(AC156,MAX(0,N(Debts!$E$8)))</f>
        <v>0</v>
      </c>
      <c r="AN156" s="56" t="n">
        <f aca="false">MIN(AD156,MAX(0,N(Debts!$E$9)))</f>
        <v>0</v>
      </c>
      <c r="AO156" s="56" t="n">
        <f aca="false">MIN(AE156,MAX(0,N(Debts!$E$10)))</f>
        <v>0</v>
      </c>
      <c r="AP156" s="56" t="n">
        <f aca="false">MIN(AF156,MAX(0,N(Debts!$E$11)))</f>
        <v>0</v>
      </c>
      <c r="AQ156" s="56" t="n">
        <f aca="false">MIN(AG156,MAX(0,N(Debts!$E$12)))</f>
        <v>0</v>
      </c>
      <c r="AR156" s="56" t="n">
        <f aca="false">MIN(AH156,MAX(0,N(Debts!$E$13)))</f>
        <v>0</v>
      </c>
      <c r="AS156" s="56" t="n">
        <f aca="false">MIN(AI156,MAX(0,N(Debts!$E$14)))</f>
        <v>0</v>
      </c>
    </row>
    <row r="157" customFormat="false" ht="15" hidden="false" customHeight="false" outlineLevel="0" collapsed="false">
      <c r="A157" s="53" t="n">
        <v>153</v>
      </c>
      <c r="B157" s="54" t="n">
        <f aca="false">EDATE('Start Here'!$B$8,152)</f>
        <v>50952</v>
      </c>
      <c r="C157" s="42" t="n">
        <f aca="false">SUM(F157:O157)</f>
        <v>0</v>
      </c>
      <c r="D157" s="42" t="n">
        <f aca="false">ROUND(SUM($Z157:$AI157)-SUM(P156:Y156),2)</f>
        <v>0</v>
      </c>
      <c r="E157" s="55" t="n">
        <f aca="false">SUM(P157:Y157)</f>
        <v>0</v>
      </c>
      <c r="F157" s="42" t="n">
        <f aca="false">AJ157+MIN(Z157-AJ157,MAX(0,'Start Here'!$B$10-SUM($AJ157:$AS157)-SUMPRODUCT(($Z$3:$AI$3&lt;Z$3)*($Z157:$AI157-$AJ157:$AS157))))</f>
        <v>0</v>
      </c>
      <c r="G157" s="42" t="n">
        <f aca="false">AK157+MIN(AA157-AK157,MAX(0,'Start Here'!$B$10-SUM($AJ157:$AS157)-SUMPRODUCT(($Z$3:$AI$3&lt;AA$3)*($Z157:$AI157-$AJ157:$AS157))))</f>
        <v>0</v>
      </c>
      <c r="H157" s="42" t="n">
        <f aca="false">AL157+MIN(AB157-AL157,MAX(0,'Start Here'!$B$10-SUM($AJ157:$AS157)-SUMPRODUCT(($Z$3:$AI$3&lt;AB$3)*($Z157:$AI157-$AJ157:$AS157))))</f>
        <v>0</v>
      </c>
      <c r="I157" s="42" t="n">
        <f aca="false">AM157+MIN(AC157-AM157,MAX(0,'Start Here'!$B$10-SUM($AJ157:$AS157)-SUMPRODUCT(($Z$3:$AI$3&lt;AC$3)*($Z157:$AI157-$AJ157:$AS157))))</f>
        <v>0</v>
      </c>
      <c r="J157" s="42" t="n">
        <f aca="false">AN157+MIN(AD157-AN157,MAX(0,'Start Here'!$B$10-SUM($AJ157:$AS157)-SUMPRODUCT(($Z$3:$AI$3&lt;AD$3)*($Z157:$AI157-$AJ157:$AS157))))</f>
        <v>0</v>
      </c>
      <c r="K157" s="42" t="n">
        <f aca="false">AO157+MIN(AE157-AO157,MAX(0,'Start Here'!$B$10-SUM($AJ157:$AS157)-SUMPRODUCT(($Z$3:$AI$3&lt;AE$3)*($Z157:$AI157-$AJ157:$AS157))))</f>
        <v>0</v>
      </c>
      <c r="L157" s="42" t="n">
        <f aca="false">AP157+MIN(AF157-AP157,MAX(0,'Start Here'!$B$10-SUM($AJ157:$AS157)-SUMPRODUCT(($Z$3:$AI$3&lt;AF$3)*($Z157:$AI157-$AJ157:$AS157))))</f>
        <v>0</v>
      </c>
      <c r="M157" s="42" t="n">
        <f aca="false">AQ157+MIN(AG157-AQ157,MAX(0,'Start Here'!$B$10-SUM($AJ157:$AS157)-SUMPRODUCT(($Z$3:$AI$3&lt;AG$3)*($Z157:$AI157-$AJ157:$AS157))))</f>
        <v>0</v>
      </c>
      <c r="N157" s="42" t="n">
        <f aca="false">AR157+MIN(AH157-AR157,MAX(0,'Start Here'!$B$10-SUM($AJ157:$AS157)-SUMPRODUCT(($Z$3:$AI$3&lt;AH$3)*($Z157:$AI157-$AJ157:$AS157))))</f>
        <v>0</v>
      </c>
      <c r="O157" s="42" t="n">
        <f aca="false">AS157+MIN(AI157-AS157,MAX(0,'Start Here'!$B$10-SUM($AJ157:$AS157)-SUMPRODUCT(($Z$3:$AI$3&lt;AI$3)*($Z157:$AI157-$AJ157:$AS157))))</f>
        <v>0</v>
      </c>
      <c r="P157" s="42" t="n">
        <f aca="false">ROUND(Z157-F157,2)</f>
        <v>0</v>
      </c>
      <c r="Q157" s="42" t="n">
        <f aca="false">ROUND(AA157-G157,2)</f>
        <v>0</v>
      </c>
      <c r="R157" s="42" t="n">
        <f aca="false">ROUND(AB157-H157,2)</f>
        <v>0</v>
      </c>
      <c r="S157" s="42" t="n">
        <f aca="false">ROUND(AC157-I157,2)</f>
        <v>0</v>
      </c>
      <c r="T157" s="42" t="n">
        <f aca="false">ROUND(AD157-J157,2)</f>
        <v>0</v>
      </c>
      <c r="U157" s="42" t="n">
        <f aca="false">ROUND(AE157-K157,2)</f>
        <v>0</v>
      </c>
      <c r="V157" s="42" t="n">
        <f aca="false">ROUND(AF157-L157,2)</f>
        <v>0</v>
      </c>
      <c r="W157" s="42" t="n">
        <f aca="false">ROUND(AG157-M157,2)</f>
        <v>0</v>
      </c>
      <c r="X157" s="42" t="n">
        <f aca="false">ROUND(AH157-N157,2)</f>
        <v>0</v>
      </c>
      <c r="Y157" s="42" t="n">
        <f aca="false">ROUND(AI157-O157,2)</f>
        <v>0</v>
      </c>
      <c r="Z157" s="56" t="n">
        <f aca="false">ROUND(P156*(1+N(Debts!$D$5)/12),2)</f>
        <v>0</v>
      </c>
      <c r="AA157" s="56" t="n">
        <f aca="false">ROUND(Q156*(1+N(Debts!$D$6)/12),2)</f>
        <v>0</v>
      </c>
      <c r="AB157" s="56" t="n">
        <f aca="false">ROUND(R156*(1+N(Debts!$D$7)/12),2)</f>
        <v>0</v>
      </c>
      <c r="AC157" s="56" t="n">
        <f aca="false">ROUND(S156*(1+N(Debts!$D$8)/12),2)</f>
        <v>0</v>
      </c>
      <c r="AD157" s="56" t="n">
        <f aca="false">ROUND(T156*(1+N(Debts!$D$9)/12),2)</f>
        <v>0</v>
      </c>
      <c r="AE157" s="56" t="n">
        <f aca="false">ROUND(U156*(1+N(Debts!$D$10)/12),2)</f>
        <v>0</v>
      </c>
      <c r="AF157" s="56" t="n">
        <f aca="false">ROUND(V156*(1+N(Debts!$D$11)/12),2)</f>
        <v>0</v>
      </c>
      <c r="AG157" s="56" t="n">
        <f aca="false">ROUND(W156*(1+N(Debts!$D$12)/12),2)</f>
        <v>0</v>
      </c>
      <c r="AH157" s="56" t="n">
        <f aca="false">ROUND(X156*(1+N(Debts!$D$13)/12),2)</f>
        <v>0</v>
      </c>
      <c r="AI157" s="56" t="n">
        <f aca="false">ROUND(Y156*(1+N(Debts!$D$14)/12),2)</f>
        <v>0</v>
      </c>
      <c r="AJ157" s="56" t="n">
        <f aca="false">MIN(Z157,MAX(0,N(Debts!$E$5)))</f>
        <v>0</v>
      </c>
      <c r="AK157" s="56" t="n">
        <f aca="false">MIN(AA157,MAX(0,N(Debts!$E$6)))</f>
        <v>0</v>
      </c>
      <c r="AL157" s="56" t="n">
        <f aca="false">MIN(AB157,MAX(0,N(Debts!$E$7)))</f>
        <v>0</v>
      </c>
      <c r="AM157" s="56" t="n">
        <f aca="false">MIN(AC157,MAX(0,N(Debts!$E$8)))</f>
        <v>0</v>
      </c>
      <c r="AN157" s="56" t="n">
        <f aca="false">MIN(AD157,MAX(0,N(Debts!$E$9)))</f>
        <v>0</v>
      </c>
      <c r="AO157" s="56" t="n">
        <f aca="false">MIN(AE157,MAX(0,N(Debts!$E$10)))</f>
        <v>0</v>
      </c>
      <c r="AP157" s="56" t="n">
        <f aca="false">MIN(AF157,MAX(0,N(Debts!$E$11)))</f>
        <v>0</v>
      </c>
      <c r="AQ157" s="56" t="n">
        <f aca="false">MIN(AG157,MAX(0,N(Debts!$E$12)))</f>
        <v>0</v>
      </c>
      <c r="AR157" s="56" t="n">
        <f aca="false">MIN(AH157,MAX(0,N(Debts!$E$13)))</f>
        <v>0</v>
      </c>
      <c r="AS157" s="56" t="n">
        <f aca="false">MIN(AI157,MAX(0,N(Debts!$E$14)))</f>
        <v>0</v>
      </c>
    </row>
    <row r="158" customFormat="false" ht="15" hidden="false" customHeight="false" outlineLevel="0" collapsed="false">
      <c r="A158" s="53" t="n">
        <v>154</v>
      </c>
      <c r="B158" s="54" t="n">
        <f aca="false">EDATE('Start Here'!$B$8,153)</f>
        <v>50983</v>
      </c>
      <c r="C158" s="42" t="n">
        <f aca="false">SUM(F158:O158)</f>
        <v>0</v>
      </c>
      <c r="D158" s="42" t="n">
        <f aca="false">ROUND(SUM($Z158:$AI158)-SUM(P157:Y157),2)</f>
        <v>0</v>
      </c>
      <c r="E158" s="55" t="n">
        <f aca="false">SUM(P158:Y158)</f>
        <v>0</v>
      </c>
      <c r="F158" s="42" t="n">
        <f aca="false">AJ158+MIN(Z158-AJ158,MAX(0,'Start Here'!$B$10-SUM($AJ158:$AS158)-SUMPRODUCT(($Z$3:$AI$3&lt;Z$3)*($Z158:$AI158-$AJ158:$AS158))))</f>
        <v>0</v>
      </c>
      <c r="G158" s="42" t="n">
        <f aca="false">AK158+MIN(AA158-AK158,MAX(0,'Start Here'!$B$10-SUM($AJ158:$AS158)-SUMPRODUCT(($Z$3:$AI$3&lt;AA$3)*($Z158:$AI158-$AJ158:$AS158))))</f>
        <v>0</v>
      </c>
      <c r="H158" s="42" t="n">
        <f aca="false">AL158+MIN(AB158-AL158,MAX(0,'Start Here'!$B$10-SUM($AJ158:$AS158)-SUMPRODUCT(($Z$3:$AI$3&lt;AB$3)*($Z158:$AI158-$AJ158:$AS158))))</f>
        <v>0</v>
      </c>
      <c r="I158" s="42" t="n">
        <f aca="false">AM158+MIN(AC158-AM158,MAX(0,'Start Here'!$B$10-SUM($AJ158:$AS158)-SUMPRODUCT(($Z$3:$AI$3&lt;AC$3)*($Z158:$AI158-$AJ158:$AS158))))</f>
        <v>0</v>
      </c>
      <c r="J158" s="42" t="n">
        <f aca="false">AN158+MIN(AD158-AN158,MAX(0,'Start Here'!$B$10-SUM($AJ158:$AS158)-SUMPRODUCT(($Z$3:$AI$3&lt;AD$3)*($Z158:$AI158-$AJ158:$AS158))))</f>
        <v>0</v>
      </c>
      <c r="K158" s="42" t="n">
        <f aca="false">AO158+MIN(AE158-AO158,MAX(0,'Start Here'!$B$10-SUM($AJ158:$AS158)-SUMPRODUCT(($Z$3:$AI$3&lt;AE$3)*($Z158:$AI158-$AJ158:$AS158))))</f>
        <v>0</v>
      </c>
      <c r="L158" s="42" t="n">
        <f aca="false">AP158+MIN(AF158-AP158,MAX(0,'Start Here'!$B$10-SUM($AJ158:$AS158)-SUMPRODUCT(($Z$3:$AI$3&lt;AF$3)*($Z158:$AI158-$AJ158:$AS158))))</f>
        <v>0</v>
      </c>
      <c r="M158" s="42" t="n">
        <f aca="false">AQ158+MIN(AG158-AQ158,MAX(0,'Start Here'!$B$10-SUM($AJ158:$AS158)-SUMPRODUCT(($Z$3:$AI$3&lt;AG$3)*($Z158:$AI158-$AJ158:$AS158))))</f>
        <v>0</v>
      </c>
      <c r="N158" s="42" t="n">
        <f aca="false">AR158+MIN(AH158-AR158,MAX(0,'Start Here'!$B$10-SUM($AJ158:$AS158)-SUMPRODUCT(($Z$3:$AI$3&lt;AH$3)*($Z158:$AI158-$AJ158:$AS158))))</f>
        <v>0</v>
      </c>
      <c r="O158" s="42" t="n">
        <f aca="false">AS158+MIN(AI158-AS158,MAX(0,'Start Here'!$B$10-SUM($AJ158:$AS158)-SUMPRODUCT(($Z$3:$AI$3&lt;AI$3)*($Z158:$AI158-$AJ158:$AS158))))</f>
        <v>0</v>
      </c>
      <c r="P158" s="42" t="n">
        <f aca="false">ROUND(Z158-F158,2)</f>
        <v>0</v>
      </c>
      <c r="Q158" s="42" t="n">
        <f aca="false">ROUND(AA158-G158,2)</f>
        <v>0</v>
      </c>
      <c r="R158" s="42" t="n">
        <f aca="false">ROUND(AB158-H158,2)</f>
        <v>0</v>
      </c>
      <c r="S158" s="42" t="n">
        <f aca="false">ROUND(AC158-I158,2)</f>
        <v>0</v>
      </c>
      <c r="T158" s="42" t="n">
        <f aca="false">ROUND(AD158-J158,2)</f>
        <v>0</v>
      </c>
      <c r="U158" s="42" t="n">
        <f aca="false">ROUND(AE158-K158,2)</f>
        <v>0</v>
      </c>
      <c r="V158" s="42" t="n">
        <f aca="false">ROUND(AF158-L158,2)</f>
        <v>0</v>
      </c>
      <c r="W158" s="42" t="n">
        <f aca="false">ROUND(AG158-M158,2)</f>
        <v>0</v>
      </c>
      <c r="X158" s="42" t="n">
        <f aca="false">ROUND(AH158-N158,2)</f>
        <v>0</v>
      </c>
      <c r="Y158" s="42" t="n">
        <f aca="false">ROUND(AI158-O158,2)</f>
        <v>0</v>
      </c>
      <c r="Z158" s="56" t="n">
        <f aca="false">ROUND(P157*(1+N(Debts!$D$5)/12),2)</f>
        <v>0</v>
      </c>
      <c r="AA158" s="56" t="n">
        <f aca="false">ROUND(Q157*(1+N(Debts!$D$6)/12),2)</f>
        <v>0</v>
      </c>
      <c r="AB158" s="56" t="n">
        <f aca="false">ROUND(R157*(1+N(Debts!$D$7)/12),2)</f>
        <v>0</v>
      </c>
      <c r="AC158" s="56" t="n">
        <f aca="false">ROUND(S157*(1+N(Debts!$D$8)/12),2)</f>
        <v>0</v>
      </c>
      <c r="AD158" s="56" t="n">
        <f aca="false">ROUND(T157*(1+N(Debts!$D$9)/12),2)</f>
        <v>0</v>
      </c>
      <c r="AE158" s="56" t="n">
        <f aca="false">ROUND(U157*(1+N(Debts!$D$10)/12),2)</f>
        <v>0</v>
      </c>
      <c r="AF158" s="56" t="n">
        <f aca="false">ROUND(V157*(1+N(Debts!$D$11)/12),2)</f>
        <v>0</v>
      </c>
      <c r="AG158" s="56" t="n">
        <f aca="false">ROUND(W157*(1+N(Debts!$D$12)/12),2)</f>
        <v>0</v>
      </c>
      <c r="AH158" s="56" t="n">
        <f aca="false">ROUND(X157*(1+N(Debts!$D$13)/12),2)</f>
        <v>0</v>
      </c>
      <c r="AI158" s="56" t="n">
        <f aca="false">ROUND(Y157*(1+N(Debts!$D$14)/12),2)</f>
        <v>0</v>
      </c>
      <c r="AJ158" s="56" t="n">
        <f aca="false">MIN(Z158,MAX(0,N(Debts!$E$5)))</f>
        <v>0</v>
      </c>
      <c r="AK158" s="56" t="n">
        <f aca="false">MIN(AA158,MAX(0,N(Debts!$E$6)))</f>
        <v>0</v>
      </c>
      <c r="AL158" s="56" t="n">
        <f aca="false">MIN(AB158,MAX(0,N(Debts!$E$7)))</f>
        <v>0</v>
      </c>
      <c r="AM158" s="56" t="n">
        <f aca="false">MIN(AC158,MAX(0,N(Debts!$E$8)))</f>
        <v>0</v>
      </c>
      <c r="AN158" s="56" t="n">
        <f aca="false">MIN(AD158,MAX(0,N(Debts!$E$9)))</f>
        <v>0</v>
      </c>
      <c r="AO158" s="56" t="n">
        <f aca="false">MIN(AE158,MAX(0,N(Debts!$E$10)))</f>
        <v>0</v>
      </c>
      <c r="AP158" s="56" t="n">
        <f aca="false">MIN(AF158,MAX(0,N(Debts!$E$11)))</f>
        <v>0</v>
      </c>
      <c r="AQ158" s="56" t="n">
        <f aca="false">MIN(AG158,MAX(0,N(Debts!$E$12)))</f>
        <v>0</v>
      </c>
      <c r="AR158" s="56" t="n">
        <f aca="false">MIN(AH158,MAX(0,N(Debts!$E$13)))</f>
        <v>0</v>
      </c>
      <c r="AS158" s="56" t="n">
        <f aca="false">MIN(AI158,MAX(0,N(Debts!$E$14)))</f>
        <v>0</v>
      </c>
    </row>
    <row r="159" customFormat="false" ht="15" hidden="false" customHeight="false" outlineLevel="0" collapsed="false">
      <c r="A159" s="53" t="n">
        <v>155</v>
      </c>
      <c r="B159" s="54" t="n">
        <f aca="false">EDATE('Start Here'!$B$8,154)</f>
        <v>51014</v>
      </c>
      <c r="C159" s="42" t="n">
        <f aca="false">SUM(F159:O159)</f>
        <v>0</v>
      </c>
      <c r="D159" s="42" t="n">
        <f aca="false">ROUND(SUM($Z159:$AI159)-SUM(P158:Y158),2)</f>
        <v>0</v>
      </c>
      <c r="E159" s="55" t="n">
        <f aca="false">SUM(P159:Y159)</f>
        <v>0</v>
      </c>
      <c r="F159" s="42" t="n">
        <f aca="false">AJ159+MIN(Z159-AJ159,MAX(0,'Start Here'!$B$10-SUM($AJ159:$AS159)-SUMPRODUCT(($Z$3:$AI$3&lt;Z$3)*($Z159:$AI159-$AJ159:$AS159))))</f>
        <v>0</v>
      </c>
      <c r="G159" s="42" t="n">
        <f aca="false">AK159+MIN(AA159-AK159,MAX(0,'Start Here'!$B$10-SUM($AJ159:$AS159)-SUMPRODUCT(($Z$3:$AI$3&lt;AA$3)*($Z159:$AI159-$AJ159:$AS159))))</f>
        <v>0</v>
      </c>
      <c r="H159" s="42" t="n">
        <f aca="false">AL159+MIN(AB159-AL159,MAX(0,'Start Here'!$B$10-SUM($AJ159:$AS159)-SUMPRODUCT(($Z$3:$AI$3&lt;AB$3)*($Z159:$AI159-$AJ159:$AS159))))</f>
        <v>0</v>
      </c>
      <c r="I159" s="42" t="n">
        <f aca="false">AM159+MIN(AC159-AM159,MAX(0,'Start Here'!$B$10-SUM($AJ159:$AS159)-SUMPRODUCT(($Z$3:$AI$3&lt;AC$3)*($Z159:$AI159-$AJ159:$AS159))))</f>
        <v>0</v>
      </c>
      <c r="J159" s="42" t="n">
        <f aca="false">AN159+MIN(AD159-AN159,MAX(0,'Start Here'!$B$10-SUM($AJ159:$AS159)-SUMPRODUCT(($Z$3:$AI$3&lt;AD$3)*($Z159:$AI159-$AJ159:$AS159))))</f>
        <v>0</v>
      </c>
      <c r="K159" s="42" t="n">
        <f aca="false">AO159+MIN(AE159-AO159,MAX(0,'Start Here'!$B$10-SUM($AJ159:$AS159)-SUMPRODUCT(($Z$3:$AI$3&lt;AE$3)*($Z159:$AI159-$AJ159:$AS159))))</f>
        <v>0</v>
      </c>
      <c r="L159" s="42" t="n">
        <f aca="false">AP159+MIN(AF159-AP159,MAX(0,'Start Here'!$B$10-SUM($AJ159:$AS159)-SUMPRODUCT(($Z$3:$AI$3&lt;AF$3)*($Z159:$AI159-$AJ159:$AS159))))</f>
        <v>0</v>
      </c>
      <c r="M159" s="42" t="n">
        <f aca="false">AQ159+MIN(AG159-AQ159,MAX(0,'Start Here'!$B$10-SUM($AJ159:$AS159)-SUMPRODUCT(($Z$3:$AI$3&lt;AG$3)*($Z159:$AI159-$AJ159:$AS159))))</f>
        <v>0</v>
      </c>
      <c r="N159" s="42" t="n">
        <f aca="false">AR159+MIN(AH159-AR159,MAX(0,'Start Here'!$B$10-SUM($AJ159:$AS159)-SUMPRODUCT(($Z$3:$AI$3&lt;AH$3)*($Z159:$AI159-$AJ159:$AS159))))</f>
        <v>0</v>
      </c>
      <c r="O159" s="42" t="n">
        <f aca="false">AS159+MIN(AI159-AS159,MAX(0,'Start Here'!$B$10-SUM($AJ159:$AS159)-SUMPRODUCT(($Z$3:$AI$3&lt;AI$3)*($Z159:$AI159-$AJ159:$AS159))))</f>
        <v>0</v>
      </c>
      <c r="P159" s="42" t="n">
        <f aca="false">ROUND(Z159-F159,2)</f>
        <v>0</v>
      </c>
      <c r="Q159" s="42" t="n">
        <f aca="false">ROUND(AA159-G159,2)</f>
        <v>0</v>
      </c>
      <c r="R159" s="42" t="n">
        <f aca="false">ROUND(AB159-H159,2)</f>
        <v>0</v>
      </c>
      <c r="S159" s="42" t="n">
        <f aca="false">ROUND(AC159-I159,2)</f>
        <v>0</v>
      </c>
      <c r="T159" s="42" t="n">
        <f aca="false">ROUND(AD159-J159,2)</f>
        <v>0</v>
      </c>
      <c r="U159" s="42" t="n">
        <f aca="false">ROUND(AE159-K159,2)</f>
        <v>0</v>
      </c>
      <c r="V159" s="42" t="n">
        <f aca="false">ROUND(AF159-L159,2)</f>
        <v>0</v>
      </c>
      <c r="W159" s="42" t="n">
        <f aca="false">ROUND(AG159-M159,2)</f>
        <v>0</v>
      </c>
      <c r="X159" s="42" t="n">
        <f aca="false">ROUND(AH159-N159,2)</f>
        <v>0</v>
      </c>
      <c r="Y159" s="42" t="n">
        <f aca="false">ROUND(AI159-O159,2)</f>
        <v>0</v>
      </c>
      <c r="Z159" s="56" t="n">
        <f aca="false">ROUND(P158*(1+N(Debts!$D$5)/12),2)</f>
        <v>0</v>
      </c>
      <c r="AA159" s="56" t="n">
        <f aca="false">ROUND(Q158*(1+N(Debts!$D$6)/12),2)</f>
        <v>0</v>
      </c>
      <c r="AB159" s="56" t="n">
        <f aca="false">ROUND(R158*(1+N(Debts!$D$7)/12),2)</f>
        <v>0</v>
      </c>
      <c r="AC159" s="56" t="n">
        <f aca="false">ROUND(S158*(1+N(Debts!$D$8)/12),2)</f>
        <v>0</v>
      </c>
      <c r="AD159" s="56" t="n">
        <f aca="false">ROUND(T158*(1+N(Debts!$D$9)/12),2)</f>
        <v>0</v>
      </c>
      <c r="AE159" s="56" t="n">
        <f aca="false">ROUND(U158*(1+N(Debts!$D$10)/12),2)</f>
        <v>0</v>
      </c>
      <c r="AF159" s="56" t="n">
        <f aca="false">ROUND(V158*(1+N(Debts!$D$11)/12),2)</f>
        <v>0</v>
      </c>
      <c r="AG159" s="56" t="n">
        <f aca="false">ROUND(W158*(1+N(Debts!$D$12)/12),2)</f>
        <v>0</v>
      </c>
      <c r="AH159" s="56" t="n">
        <f aca="false">ROUND(X158*(1+N(Debts!$D$13)/12),2)</f>
        <v>0</v>
      </c>
      <c r="AI159" s="56" t="n">
        <f aca="false">ROUND(Y158*(1+N(Debts!$D$14)/12),2)</f>
        <v>0</v>
      </c>
      <c r="AJ159" s="56" t="n">
        <f aca="false">MIN(Z159,MAX(0,N(Debts!$E$5)))</f>
        <v>0</v>
      </c>
      <c r="AK159" s="56" t="n">
        <f aca="false">MIN(AA159,MAX(0,N(Debts!$E$6)))</f>
        <v>0</v>
      </c>
      <c r="AL159" s="56" t="n">
        <f aca="false">MIN(AB159,MAX(0,N(Debts!$E$7)))</f>
        <v>0</v>
      </c>
      <c r="AM159" s="56" t="n">
        <f aca="false">MIN(AC159,MAX(0,N(Debts!$E$8)))</f>
        <v>0</v>
      </c>
      <c r="AN159" s="56" t="n">
        <f aca="false">MIN(AD159,MAX(0,N(Debts!$E$9)))</f>
        <v>0</v>
      </c>
      <c r="AO159" s="56" t="n">
        <f aca="false">MIN(AE159,MAX(0,N(Debts!$E$10)))</f>
        <v>0</v>
      </c>
      <c r="AP159" s="56" t="n">
        <f aca="false">MIN(AF159,MAX(0,N(Debts!$E$11)))</f>
        <v>0</v>
      </c>
      <c r="AQ159" s="56" t="n">
        <f aca="false">MIN(AG159,MAX(0,N(Debts!$E$12)))</f>
        <v>0</v>
      </c>
      <c r="AR159" s="56" t="n">
        <f aca="false">MIN(AH159,MAX(0,N(Debts!$E$13)))</f>
        <v>0</v>
      </c>
      <c r="AS159" s="56" t="n">
        <f aca="false">MIN(AI159,MAX(0,N(Debts!$E$14)))</f>
        <v>0</v>
      </c>
    </row>
    <row r="160" customFormat="false" ht="15" hidden="false" customHeight="false" outlineLevel="0" collapsed="false">
      <c r="A160" s="53" t="n">
        <v>156</v>
      </c>
      <c r="B160" s="54" t="n">
        <f aca="false">EDATE('Start Here'!$B$8,155)</f>
        <v>51044</v>
      </c>
      <c r="C160" s="42" t="n">
        <f aca="false">SUM(F160:O160)</f>
        <v>0</v>
      </c>
      <c r="D160" s="42" t="n">
        <f aca="false">ROUND(SUM($Z160:$AI160)-SUM(P159:Y159),2)</f>
        <v>0</v>
      </c>
      <c r="E160" s="55" t="n">
        <f aca="false">SUM(P160:Y160)</f>
        <v>0</v>
      </c>
      <c r="F160" s="42" t="n">
        <f aca="false">AJ160+MIN(Z160-AJ160,MAX(0,'Start Here'!$B$10-SUM($AJ160:$AS160)-SUMPRODUCT(($Z$3:$AI$3&lt;Z$3)*($Z160:$AI160-$AJ160:$AS160))))</f>
        <v>0</v>
      </c>
      <c r="G160" s="42" t="n">
        <f aca="false">AK160+MIN(AA160-AK160,MAX(0,'Start Here'!$B$10-SUM($AJ160:$AS160)-SUMPRODUCT(($Z$3:$AI$3&lt;AA$3)*($Z160:$AI160-$AJ160:$AS160))))</f>
        <v>0</v>
      </c>
      <c r="H160" s="42" t="n">
        <f aca="false">AL160+MIN(AB160-AL160,MAX(0,'Start Here'!$B$10-SUM($AJ160:$AS160)-SUMPRODUCT(($Z$3:$AI$3&lt;AB$3)*($Z160:$AI160-$AJ160:$AS160))))</f>
        <v>0</v>
      </c>
      <c r="I160" s="42" t="n">
        <f aca="false">AM160+MIN(AC160-AM160,MAX(0,'Start Here'!$B$10-SUM($AJ160:$AS160)-SUMPRODUCT(($Z$3:$AI$3&lt;AC$3)*($Z160:$AI160-$AJ160:$AS160))))</f>
        <v>0</v>
      </c>
      <c r="J160" s="42" t="n">
        <f aca="false">AN160+MIN(AD160-AN160,MAX(0,'Start Here'!$B$10-SUM($AJ160:$AS160)-SUMPRODUCT(($Z$3:$AI$3&lt;AD$3)*($Z160:$AI160-$AJ160:$AS160))))</f>
        <v>0</v>
      </c>
      <c r="K160" s="42" t="n">
        <f aca="false">AO160+MIN(AE160-AO160,MAX(0,'Start Here'!$B$10-SUM($AJ160:$AS160)-SUMPRODUCT(($Z$3:$AI$3&lt;AE$3)*($Z160:$AI160-$AJ160:$AS160))))</f>
        <v>0</v>
      </c>
      <c r="L160" s="42" t="n">
        <f aca="false">AP160+MIN(AF160-AP160,MAX(0,'Start Here'!$B$10-SUM($AJ160:$AS160)-SUMPRODUCT(($Z$3:$AI$3&lt;AF$3)*($Z160:$AI160-$AJ160:$AS160))))</f>
        <v>0</v>
      </c>
      <c r="M160" s="42" t="n">
        <f aca="false">AQ160+MIN(AG160-AQ160,MAX(0,'Start Here'!$B$10-SUM($AJ160:$AS160)-SUMPRODUCT(($Z$3:$AI$3&lt;AG$3)*($Z160:$AI160-$AJ160:$AS160))))</f>
        <v>0</v>
      </c>
      <c r="N160" s="42" t="n">
        <f aca="false">AR160+MIN(AH160-AR160,MAX(0,'Start Here'!$B$10-SUM($AJ160:$AS160)-SUMPRODUCT(($Z$3:$AI$3&lt;AH$3)*($Z160:$AI160-$AJ160:$AS160))))</f>
        <v>0</v>
      </c>
      <c r="O160" s="42" t="n">
        <f aca="false">AS160+MIN(AI160-AS160,MAX(0,'Start Here'!$B$10-SUM($AJ160:$AS160)-SUMPRODUCT(($Z$3:$AI$3&lt;AI$3)*($Z160:$AI160-$AJ160:$AS160))))</f>
        <v>0</v>
      </c>
      <c r="P160" s="42" t="n">
        <f aca="false">ROUND(Z160-F160,2)</f>
        <v>0</v>
      </c>
      <c r="Q160" s="42" t="n">
        <f aca="false">ROUND(AA160-G160,2)</f>
        <v>0</v>
      </c>
      <c r="R160" s="42" t="n">
        <f aca="false">ROUND(AB160-H160,2)</f>
        <v>0</v>
      </c>
      <c r="S160" s="42" t="n">
        <f aca="false">ROUND(AC160-I160,2)</f>
        <v>0</v>
      </c>
      <c r="T160" s="42" t="n">
        <f aca="false">ROUND(AD160-J160,2)</f>
        <v>0</v>
      </c>
      <c r="U160" s="42" t="n">
        <f aca="false">ROUND(AE160-K160,2)</f>
        <v>0</v>
      </c>
      <c r="V160" s="42" t="n">
        <f aca="false">ROUND(AF160-L160,2)</f>
        <v>0</v>
      </c>
      <c r="W160" s="42" t="n">
        <f aca="false">ROUND(AG160-M160,2)</f>
        <v>0</v>
      </c>
      <c r="X160" s="42" t="n">
        <f aca="false">ROUND(AH160-N160,2)</f>
        <v>0</v>
      </c>
      <c r="Y160" s="42" t="n">
        <f aca="false">ROUND(AI160-O160,2)</f>
        <v>0</v>
      </c>
      <c r="Z160" s="56" t="n">
        <f aca="false">ROUND(P159*(1+N(Debts!$D$5)/12),2)</f>
        <v>0</v>
      </c>
      <c r="AA160" s="56" t="n">
        <f aca="false">ROUND(Q159*(1+N(Debts!$D$6)/12),2)</f>
        <v>0</v>
      </c>
      <c r="AB160" s="56" t="n">
        <f aca="false">ROUND(R159*(1+N(Debts!$D$7)/12),2)</f>
        <v>0</v>
      </c>
      <c r="AC160" s="56" t="n">
        <f aca="false">ROUND(S159*(1+N(Debts!$D$8)/12),2)</f>
        <v>0</v>
      </c>
      <c r="AD160" s="56" t="n">
        <f aca="false">ROUND(T159*(1+N(Debts!$D$9)/12),2)</f>
        <v>0</v>
      </c>
      <c r="AE160" s="56" t="n">
        <f aca="false">ROUND(U159*(1+N(Debts!$D$10)/12),2)</f>
        <v>0</v>
      </c>
      <c r="AF160" s="56" t="n">
        <f aca="false">ROUND(V159*(1+N(Debts!$D$11)/12),2)</f>
        <v>0</v>
      </c>
      <c r="AG160" s="56" t="n">
        <f aca="false">ROUND(W159*(1+N(Debts!$D$12)/12),2)</f>
        <v>0</v>
      </c>
      <c r="AH160" s="56" t="n">
        <f aca="false">ROUND(X159*(1+N(Debts!$D$13)/12),2)</f>
        <v>0</v>
      </c>
      <c r="AI160" s="56" t="n">
        <f aca="false">ROUND(Y159*(1+N(Debts!$D$14)/12),2)</f>
        <v>0</v>
      </c>
      <c r="AJ160" s="56" t="n">
        <f aca="false">MIN(Z160,MAX(0,N(Debts!$E$5)))</f>
        <v>0</v>
      </c>
      <c r="AK160" s="56" t="n">
        <f aca="false">MIN(AA160,MAX(0,N(Debts!$E$6)))</f>
        <v>0</v>
      </c>
      <c r="AL160" s="56" t="n">
        <f aca="false">MIN(AB160,MAX(0,N(Debts!$E$7)))</f>
        <v>0</v>
      </c>
      <c r="AM160" s="56" t="n">
        <f aca="false">MIN(AC160,MAX(0,N(Debts!$E$8)))</f>
        <v>0</v>
      </c>
      <c r="AN160" s="56" t="n">
        <f aca="false">MIN(AD160,MAX(0,N(Debts!$E$9)))</f>
        <v>0</v>
      </c>
      <c r="AO160" s="56" t="n">
        <f aca="false">MIN(AE160,MAX(0,N(Debts!$E$10)))</f>
        <v>0</v>
      </c>
      <c r="AP160" s="56" t="n">
        <f aca="false">MIN(AF160,MAX(0,N(Debts!$E$11)))</f>
        <v>0</v>
      </c>
      <c r="AQ160" s="56" t="n">
        <f aca="false">MIN(AG160,MAX(0,N(Debts!$E$12)))</f>
        <v>0</v>
      </c>
      <c r="AR160" s="56" t="n">
        <f aca="false">MIN(AH160,MAX(0,N(Debts!$E$13)))</f>
        <v>0</v>
      </c>
      <c r="AS160" s="56" t="n">
        <f aca="false">MIN(AI160,MAX(0,N(Debts!$E$14)))</f>
        <v>0</v>
      </c>
    </row>
    <row r="161" customFormat="false" ht="15" hidden="false" customHeight="false" outlineLevel="0" collapsed="false">
      <c r="A161" s="53" t="n">
        <v>157</v>
      </c>
      <c r="B161" s="54" t="n">
        <f aca="false">EDATE('Start Here'!$B$8,156)</f>
        <v>51075</v>
      </c>
      <c r="C161" s="42" t="n">
        <f aca="false">SUM(F161:O161)</f>
        <v>0</v>
      </c>
      <c r="D161" s="42" t="n">
        <f aca="false">ROUND(SUM($Z161:$AI161)-SUM(P160:Y160),2)</f>
        <v>0</v>
      </c>
      <c r="E161" s="55" t="n">
        <f aca="false">SUM(P161:Y161)</f>
        <v>0</v>
      </c>
      <c r="F161" s="42" t="n">
        <f aca="false">AJ161+MIN(Z161-AJ161,MAX(0,'Start Here'!$B$10-SUM($AJ161:$AS161)-SUMPRODUCT(($Z$3:$AI$3&lt;Z$3)*($Z161:$AI161-$AJ161:$AS161))))</f>
        <v>0</v>
      </c>
      <c r="G161" s="42" t="n">
        <f aca="false">AK161+MIN(AA161-AK161,MAX(0,'Start Here'!$B$10-SUM($AJ161:$AS161)-SUMPRODUCT(($Z$3:$AI$3&lt;AA$3)*($Z161:$AI161-$AJ161:$AS161))))</f>
        <v>0</v>
      </c>
      <c r="H161" s="42" t="n">
        <f aca="false">AL161+MIN(AB161-AL161,MAX(0,'Start Here'!$B$10-SUM($AJ161:$AS161)-SUMPRODUCT(($Z$3:$AI$3&lt;AB$3)*($Z161:$AI161-$AJ161:$AS161))))</f>
        <v>0</v>
      </c>
      <c r="I161" s="42" t="n">
        <f aca="false">AM161+MIN(AC161-AM161,MAX(0,'Start Here'!$B$10-SUM($AJ161:$AS161)-SUMPRODUCT(($Z$3:$AI$3&lt;AC$3)*($Z161:$AI161-$AJ161:$AS161))))</f>
        <v>0</v>
      </c>
      <c r="J161" s="42" t="n">
        <f aca="false">AN161+MIN(AD161-AN161,MAX(0,'Start Here'!$B$10-SUM($AJ161:$AS161)-SUMPRODUCT(($Z$3:$AI$3&lt;AD$3)*($Z161:$AI161-$AJ161:$AS161))))</f>
        <v>0</v>
      </c>
      <c r="K161" s="42" t="n">
        <f aca="false">AO161+MIN(AE161-AO161,MAX(0,'Start Here'!$B$10-SUM($AJ161:$AS161)-SUMPRODUCT(($Z$3:$AI$3&lt;AE$3)*($Z161:$AI161-$AJ161:$AS161))))</f>
        <v>0</v>
      </c>
      <c r="L161" s="42" t="n">
        <f aca="false">AP161+MIN(AF161-AP161,MAX(0,'Start Here'!$B$10-SUM($AJ161:$AS161)-SUMPRODUCT(($Z$3:$AI$3&lt;AF$3)*($Z161:$AI161-$AJ161:$AS161))))</f>
        <v>0</v>
      </c>
      <c r="M161" s="42" t="n">
        <f aca="false">AQ161+MIN(AG161-AQ161,MAX(0,'Start Here'!$B$10-SUM($AJ161:$AS161)-SUMPRODUCT(($Z$3:$AI$3&lt;AG$3)*($Z161:$AI161-$AJ161:$AS161))))</f>
        <v>0</v>
      </c>
      <c r="N161" s="42" t="n">
        <f aca="false">AR161+MIN(AH161-AR161,MAX(0,'Start Here'!$B$10-SUM($AJ161:$AS161)-SUMPRODUCT(($Z$3:$AI$3&lt;AH$3)*($Z161:$AI161-$AJ161:$AS161))))</f>
        <v>0</v>
      </c>
      <c r="O161" s="42" t="n">
        <f aca="false">AS161+MIN(AI161-AS161,MAX(0,'Start Here'!$B$10-SUM($AJ161:$AS161)-SUMPRODUCT(($Z$3:$AI$3&lt;AI$3)*($Z161:$AI161-$AJ161:$AS161))))</f>
        <v>0</v>
      </c>
      <c r="P161" s="42" t="n">
        <f aca="false">ROUND(Z161-F161,2)</f>
        <v>0</v>
      </c>
      <c r="Q161" s="42" t="n">
        <f aca="false">ROUND(AA161-G161,2)</f>
        <v>0</v>
      </c>
      <c r="R161" s="42" t="n">
        <f aca="false">ROUND(AB161-H161,2)</f>
        <v>0</v>
      </c>
      <c r="S161" s="42" t="n">
        <f aca="false">ROUND(AC161-I161,2)</f>
        <v>0</v>
      </c>
      <c r="T161" s="42" t="n">
        <f aca="false">ROUND(AD161-J161,2)</f>
        <v>0</v>
      </c>
      <c r="U161" s="42" t="n">
        <f aca="false">ROUND(AE161-K161,2)</f>
        <v>0</v>
      </c>
      <c r="V161" s="42" t="n">
        <f aca="false">ROUND(AF161-L161,2)</f>
        <v>0</v>
      </c>
      <c r="W161" s="42" t="n">
        <f aca="false">ROUND(AG161-M161,2)</f>
        <v>0</v>
      </c>
      <c r="X161" s="42" t="n">
        <f aca="false">ROUND(AH161-N161,2)</f>
        <v>0</v>
      </c>
      <c r="Y161" s="42" t="n">
        <f aca="false">ROUND(AI161-O161,2)</f>
        <v>0</v>
      </c>
      <c r="Z161" s="56" t="n">
        <f aca="false">ROUND(P160*(1+N(Debts!$D$5)/12),2)</f>
        <v>0</v>
      </c>
      <c r="AA161" s="56" t="n">
        <f aca="false">ROUND(Q160*(1+N(Debts!$D$6)/12),2)</f>
        <v>0</v>
      </c>
      <c r="AB161" s="56" t="n">
        <f aca="false">ROUND(R160*(1+N(Debts!$D$7)/12),2)</f>
        <v>0</v>
      </c>
      <c r="AC161" s="56" t="n">
        <f aca="false">ROUND(S160*(1+N(Debts!$D$8)/12),2)</f>
        <v>0</v>
      </c>
      <c r="AD161" s="56" t="n">
        <f aca="false">ROUND(T160*(1+N(Debts!$D$9)/12),2)</f>
        <v>0</v>
      </c>
      <c r="AE161" s="56" t="n">
        <f aca="false">ROUND(U160*(1+N(Debts!$D$10)/12),2)</f>
        <v>0</v>
      </c>
      <c r="AF161" s="56" t="n">
        <f aca="false">ROUND(V160*(1+N(Debts!$D$11)/12),2)</f>
        <v>0</v>
      </c>
      <c r="AG161" s="56" t="n">
        <f aca="false">ROUND(W160*(1+N(Debts!$D$12)/12),2)</f>
        <v>0</v>
      </c>
      <c r="AH161" s="56" t="n">
        <f aca="false">ROUND(X160*(1+N(Debts!$D$13)/12),2)</f>
        <v>0</v>
      </c>
      <c r="AI161" s="56" t="n">
        <f aca="false">ROUND(Y160*(1+N(Debts!$D$14)/12),2)</f>
        <v>0</v>
      </c>
      <c r="AJ161" s="56" t="n">
        <f aca="false">MIN(Z161,MAX(0,N(Debts!$E$5)))</f>
        <v>0</v>
      </c>
      <c r="AK161" s="56" t="n">
        <f aca="false">MIN(AA161,MAX(0,N(Debts!$E$6)))</f>
        <v>0</v>
      </c>
      <c r="AL161" s="56" t="n">
        <f aca="false">MIN(AB161,MAX(0,N(Debts!$E$7)))</f>
        <v>0</v>
      </c>
      <c r="AM161" s="56" t="n">
        <f aca="false">MIN(AC161,MAX(0,N(Debts!$E$8)))</f>
        <v>0</v>
      </c>
      <c r="AN161" s="56" t="n">
        <f aca="false">MIN(AD161,MAX(0,N(Debts!$E$9)))</f>
        <v>0</v>
      </c>
      <c r="AO161" s="56" t="n">
        <f aca="false">MIN(AE161,MAX(0,N(Debts!$E$10)))</f>
        <v>0</v>
      </c>
      <c r="AP161" s="56" t="n">
        <f aca="false">MIN(AF161,MAX(0,N(Debts!$E$11)))</f>
        <v>0</v>
      </c>
      <c r="AQ161" s="56" t="n">
        <f aca="false">MIN(AG161,MAX(0,N(Debts!$E$12)))</f>
        <v>0</v>
      </c>
      <c r="AR161" s="56" t="n">
        <f aca="false">MIN(AH161,MAX(0,N(Debts!$E$13)))</f>
        <v>0</v>
      </c>
      <c r="AS161" s="56" t="n">
        <f aca="false">MIN(AI161,MAX(0,N(Debts!$E$14)))</f>
        <v>0</v>
      </c>
    </row>
    <row r="162" customFormat="false" ht="15" hidden="false" customHeight="false" outlineLevel="0" collapsed="false">
      <c r="A162" s="53" t="n">
        <v>158</v>
      </c>
      <c r="B162" s="54" t="n">
        <f aca="false">EDATE('Start Here'!$B$8,157)</f>
        <v>51105</v>
      </c>
      <c r="C162" s="42" t="n">
        <f aca="false">SUM(F162:O162)</f>
        <v>0</v>
      </c>
      <c r="D162" s="42" t="n">
        <f aca="false">ROUND(SUM($Z162:$AI162)-SUM(P161:Y161),2)</f>
        <v>0</v>
      </c>
      <c r="E162" s="55" t="n">
        <f aca="false">SUM(P162:Y162)</f>
        <v>0</v>
      </c>
      <c r="F162" s="42" t="n">
        <f aca="false">AJ162+MIN(Z162-AJ162,MAX(0,'Start Here'!$B$10-SUM($AJ162:$AS162)-SUMPRODUCT(($Z$3:$AI$3&lt;Z$3)*($Z162:$AI162-$AJ162:$AS162))))</f>
        <v>0</v>
      </c>
      <c r="G162" s="42" t="n">
        <f aca="false">AK162+MIN(AA162-AK162,MAX(0,'Start Here'!$B$10-SUM($AJ162:$AS162)-SUMPRODUCT(($Z$3:$AI$3&lt;AA$3)*($Z162:$AI162-$AJ162:$AS162))))</f>
        <v>0</v>
      </c>
      <c r="H162" s="42" t="n">
        <f aca="false">AL162+MIN(AB162-AL162,MAX(0,'Start Here'!$B$10-SUM($AJ162:$AS162)-SUMPRODUCT(($Z$3:$AI$3&lt;AB$3)*($Z162:$AI162-$AJ162:$AS162))))</f>
        <v>0</v>
      </c>
      <c r="I162" s="42" t="n">
        <f aca="false">AM162+MIN(AC162-AM162,MAX(0,'Start Here'!$B$10-SUM($AJ162:$AS162)-SUMPRODUCT(($Z$3:$AI$3&lt;AC$3)*($Z162:$AI162-$AJ162:$AS162))))</f>
        <v>0</v>
      </c>
      <c r="J162" s="42" t="n">
        <f aca="false">AN162+MIN(AD162-AN162,MAX(0,'Start Here'!$B$10-SUM($AJ162:$AS162)-SUMPRODUCT(($Z$3:$AI$3&lt;AD$3)*($Z162:$AI162-$AJ162:$AS162))))</f>
        <v>0</v>
      </c>
      <c r="K162" s="42" t="n">
        <f aca="false">AO162+MIN(AE162-AO162,MAX(0,'Start Here'!$B$10-SUM($AJ162:$AS162)-SUMPRODUCT(($Z$3:$AI$3&lt;AE$3)*($Z162:$AI162-$AJ162:$AS162))))</f>
        <v>0</v>
      </c>
      <c r="L162" s="42" t="n">
        <f aca="false">AP162+MIN(AF162-AP162,MAX(0,'Start Here'!$B$10-SUM($AJ162:$AS162)-SUMPRODUCT(($Z$3:$AI$3&lt;AF$3)*($Z162:$AI162-$AJ162:$AS162))))</f>
        <v>0</v>
      </c>
      <c r="M162" s="42" t="n">
        <f aca="false">AQ162+MIN(AG162-AQ162,MAX(0,'Start Here'!$B$10-SUM($AJ162:$AS162)-SUMPRODUCT(($Z$3:$AI$3&lt;AG$3)*($Z162:$AI162-$AJ162:$AS162))))</f>
        <v>0</v>
      </c>
      <c r="N162" s="42" t="n">
        <f aca="false">AR162+MIN(AH162-AR162,MAX(0,'Start Here'!$B$10-SUM($AJ162:$AS162)-SUMPRODUCT(($Z$3:$AI$3&lt;AH$3)*($Z162:$AI162-$AJ162:$AS162))))</f>
        <v>0</v>
      </c>
      <c r="O162" s="42" t="n">
        <f aca="false">AS162+MIN(AI162-AS162,MAX(0,'Start Here'!$B$10-SUM($AJ162:$AS162)-SUMPRODUCT(($Z$3:$AI$3&lt;AI$3)*($Z162:$AI162-$AJ162:$AS162))))</f>
        <v>0</v>
      </c>
      <c r="P162" s="42" t="n">
        <f aca="false">ROUND(Z162-F162,2)</f>
        <v>0</v>
      </c>
      <c r="Q162" s="42" t="n">
        <f aca="false">ROUND(AA162-G162,2)</f>
        <v>0</v>
      </c>
      <c r="R162" s="42" t="n">
        <f aca="false">ROUND(AB162-H162,2)</f>
        <v>0</v>
      </c>
      <c r="S162" s="42" t="n">
        <f aca="false">ROUND(AC162-I162,2)</f>
        <v>0</v>
      </c>
      <c r="T162" s="42" t="n">
        <f aca="false">ROUND(AD162-J162,2)</f>
        <v>0</v>
      </c>
      <c r="U162" s="42" t="n">
        <f aca="false">ROUND(AE162-K162,2)</f>
        <v>0</v>
      </c>
      <c r="V162" s="42" t="n">
        <f aca="false">ROUND(AF162-L162,2)</f>
        <v>0</v>
      </c>
      <c r="W162" s="42" t="n">
        <f aca="false">ROUND(AG162-M162,2)</f>
        <v>0</v>
      </c>
      <c r="X162" s="42" t="n">
        <f aca="false">ROUND(AH162-N162,2)</f>
        <v>0</v>
      </c>
      <c r="Y162" s="42" t="n">
        <f aca="false">ROUND(AI162-O162,2)</f>
        <v>0</v>
      </c>
      <c r="Z162" s="56" t="n">
        <f aca="false">ROUND(P161*(1+N(Debts!$D$5)/12),2)</f>
        <v>0</v>
      </c>
      <c r="AA162" s="56" t="n">
        <f aca="false">ROUND(Q161*(1+N(Debts!$D$6)/12),2)</f>
        <v>0</v>
      </c>
      <c r="AB162" s="56" t="n">
        <f aca="false">ROUND(R161*(1+N(Debts!$D$7)/12),2)</f>
        <v>0</v>
      </c>
      <c r="AC162" s="56" t="n">
        <f aca="false">ROUND(S161*(1+N(Debts!$D$8)/12),2)</f>
        <v>0</v>
      </c>
      <c r="AD162" s="56" t="n">
        <f aca="false">ROUND(T161*(1+N(Debts!$D$9)/12),2)</f>
        <v>0</v>
      </c>
      <c r="AE162" s="56" t="n">
        <f aca="false">ROUND(U161*(1+N(Debts!$D$10)/12),2)</f>
        <v>0</v>
      </c>
      <c r="AF162" s="56" t="n">
        <f aca="false">ROUND(V161*(1+N(Debts!$D$11)/12),2)</f>
        <v>0</v>
      </c>
      <c r="AG162" s="56" t="n">
        <f aca="false">ROUND(W161*(1+N(Debts!$D$12)/12),2)</f>
        <v>0</v>
      </c>
      <c r="AH162" s="56" t="n">
        <f aca="false">ROUND(X161*(1+N(Debts!$D$13)/12),2)</f>
        <v>0</v>
      </c>
      <c r="AI162" s="56" t="n">
        <f aca="false">ROUND(Y161*(1+N(Debts!$D$14)/12),2)</f>
        <v>0</v>
      </c>
      <c r="AJ162" s="56" t="n">
        <f aca="false">MIN(Z162,MAX(0,N(Debts!$E$5)))</f>
        <v>0</v>
      </c>
      <c r="AK162" s="56" t="n">
        <f aca="false">MIN(AA162,MAX(0,N(Debts!$E$6)))</f>
        <v>0</v>
      </c>
      <c r="AL162" s="56" t="n">
        <f aca="false">MIN(AB162,MAX(0,N(Debts!$E$7)))</f>
        <v>0</v>
      </c>
      <c r="AM162" s="56" t="n">
        <f aca="false">MIN(AC162,MAX(0,N(Debts!$E$8)))</f>
        <v>0</v>
      </c>
      <c r="AN162" s="56" t="n">
        <f aca="false">MIN(AD162,MAX(0,N(Debts!$E$9)))</f>
        <v>0</v>
      </c>
      <c r="AO162" s="56" t="n">
        <f aca="false">MIN(AE162,MAX(0,N(Debts!$E$10)))</f>
        <v>0</v>
      </c>
      <c r="AP162" s="56" t="n">
        <f aca="false">MIN(AF162,MAX(0,N(Debts!$E$11)))</f>
        <v>0</v>
      </c>
      <c r="AQ162" s="56" t="n">
        <f aca="false">MIN(AG162,MAX(0,N(Debts!$E$12)))</f>
        <v>0</v>
      </c>
      <c r="AR162" s="56" t="n">
        <f aca="false">MIN(AH162,MAX(0,N(Debts!$E$13)))</f>
        <v>0</v>
      </c>
      <c r="AS162" s="56" t="n">
        <f aca="false">MIN(AI162,MAX(0,N(Debts!$E$14)))</f>
        <v>0</v>
      </c>
    </row>
    <row r="163" customFormat="false" ht="15" hidden="false" customHeight="false" outlineLevel="0" collapsed="false">
      <c r="A163" s="53" t="n">
        <v>159</v>
      </c>
      <c r="B163" s="54" t="n">
        <f aca="false">EDATE('Start Here'!$B$8,158)</f>
        <v>51136</v>
      </c>
      <c r="C163" s="42" t="n">
        <f aca="false">SUM(F163:O163)</f>
        <v>0</v>
      </c>
      <c r="D163" s="42" t="n">
        <f aca="false">ROUND(SUM($Z163:$AI163)-SUM(P162:Y162),2)</f>
        <v>0</v>
      </c>
      <c r="E163" s="55" t="n">
        <f aca="false">SUM(P163:Y163)</f>
        <v>0</v>
      </c>
      <c r="F163" s="42" t="n">
        <f aca="false">AJ163+MIN(Z163-AJ163,MAX(0,'Start Here'!$B$10-SUM($AJ163:$AS163)-SUMPRODUCT(($Z$3:$AI$3&lt;Z$3)*($Z163:$AI163-$AJ163:$AS163))))</f>
        <v>0</v>
      </c>
      <c r="G163" s="42" t="n">
        <f aca="false">AK163+MIN(AA163-AK163,MAX(0,'Start Here'!$B$10-SUM($AJ163:$AS163)-SUMPRODUCT(($Z$3:$AI$3&lt;AA$3)*($Z163:$AI163-$AJ163:$AS163))))</f>
        <v>0</v>
      </c>
      <c r="H163" s="42" t="n">
        <f aca="false">AL163+MIN(AB163-AL163,MAX(0,'Start Here'!$B$10-SUM($AJ163:$AS163)-SUMPRODUCT(($Z$3:$AI$3&lt;AB$3)*($Z163:$AI163-$AJ163:$AS163))))</f>
        <v>0</v>
      </c>
      <c r="I163" s="42" t="n">
        <f aca="false">AM163+MIN(AC163-AM163,MAX(0,'Start Here'!$B$10-SUM($AJ163:$AS163)-SUMPRODUCT(($Z$3:$AI$3&lt;AC$3)*($Z163:$AI163-$AJ163:$AS163))))</f>
        <v>0</v>
      </c>
      <c r="J163" s="42" t="n">
        <f aca="false">AN163+MIN(AD163-AN163,MAX(0,'Start Here'!$B$10-SUM($AJ163:$AS163)-SUMPRODUCT(($Z$3:$AI$3&lt;AD$3)*($Z163:$AI163-$AJ163:$AS163))))</f>
        <v>0</v>
      </c>
      <c r="K163" s="42" t="n">
        <f aca="false">AO163+MIN(AE163-AO163,MAX(0,'Start Here'!$B$10-SUM($AJ163:$AS163)-SUMPRODUCT(($Z$3:$AI$3&lt;AE$3)*($Z163:$AI163-$AJ163:$AS163))))</f>
        <v>0</v>
      </c>
      <c r="L163" s="42" t="n">
        <f aca="false">AP163+MIN(AF163-AP163,MAX(0,'Start Here'!$B$10-SUM($AJ163:$AS163)-SUMPRODUCT(($Z$3:$AI$3&lt;AF$3)*($Z163:$AI163-$AJ163:$AS163))))</f>
        <v>0</v>
      </c>
      <c r="M163" s="42" t="n">
        <f aca="false">AQ163+MIN(AG163-AQ163,MAX(0,'Start Here'!$B$10-SUM($AJ163:$AS163)-SUMPRODUCT(($Z$3:$AI$3&lt;AG$3)*($Z163:$AI163-$AJ163:$AS163))))</f>
        <v>0</v>
      </c>
      <c r="N163" s="42" t="n">
        <f aca="false">AR163+MIN(AH163-AR163,MAX(0,'Start Here'!$B$10-SUM($AJ163:$AS163)-SUMPRODUCT(($Z$3:$AI$3&lt;AH$3)*($Z163:$AI163-$AJ163:$AS163))))</f>
        <v>0</v>
      </c>
      <c r="O163" s="42" t="n">
        <f aca="false">AS163+MIN(AI163-AS163,MAX(0,'Start Here'!$B$10-SUM($AJ163:$AS163)-SUMPRODUCT(($Z$3:$AI$3&lt;AI$3)*($Z163:$AI163-$AJ163:$AS163))))</f>
        <v>0</v>
      </c>
      <c r="P163" s="42" t="n">
        <f aca="false">ROUND(Z163-F163,2)</f>
        <v>0</v>
      </c>
      <c r="Q163" s="42" t="n">
        <f aca="false">ROUND(AA163-G163,2)</f>
        <v>0</v>
      </c>
      <c r="R163" s="42" t="n">
        <f aca="false">ROUND(AB163-H163,2)</f>
        <v>0</v>
      </c>
      <c r="S163" s="42" t="n">
        <f aca="false">ROUND(AC163-I163,2)</f>
        <v>0</v>
      </c>
      <c r="T163" s="42" t="n">
        <f aca="false">ROUND(AD163-J163,2)</f>
        <v>0</v>
      </c>
      <c r="U163" s="42" t="n">
        <f aca="false">ROUND(AE163-K163,2)</f>
        <v>0</v>
      </c>
      <c r="V163" s="42" t="n">
        <f aca="false">ROUND(AF163-L163,2)</f>
        <v>0</v>
      </c>
      <c r="W163" s="42" t="n">
        <f aca="false">ROUND(AG163-M163,2)</f>
        <v>0</v>
      </c>
      <c r="X163" s="42" t="n">
        <f aca="false">ROUND(AH163-N163,2)</f>
        <v>0</v>
      </c>
      <c r="Y163" s="42" t="n">
        <f aca="false">ROUND(AI163-O163,2)</f>
        <v>0</v>
      </c>
      <c r="Z163" s="56" t="n">
        <f aca="false">ROUND(P162*(1+N(Debts!$D$5)/12),2)</f>
        <v>0</v>
      </c>
      <c r="AA163" s="56" t="n">
        <f aca="false">ROUND(Q162*(1+N(Debts!$D$6)/12),2)</f>
        <v>0</v>
      </c>
      <c r="AB163" s="56" t="n">
        <f aca="false">ROUND(R162*(1+N(Debts!$D$7)/12),2)</f>
        <v>0</v>
      </c>
      <c r="AC163" s="56" t="n">
        <f aca="false">ROUND(S162*(1+N(Debts!$D$8)/12),2)</f>
        <v>0</v>
      </c>
      <c r="AD163" s="56" t="n">
        <f aca="false">ROUND(T162*(1+N(Debts!$D$9)/12),2)</f>
        <v>0</v>
      </c>
      <c r="AE163" s="56" t="n">
        <f aca="false">ROUND(U162*(1+N(Debts!$D$10)/12),2)</f>
        <v>0</v>
      </c>
      <c r="AF163" s="56" t="n">
        <f aca="false">ROUND(V162*(1+N(Debts!$D$11)/12),2)</f>
        <v>0</v>
      </c>
      <c r="AG163" s="56" t="n">
        <f aca="false">ROUND(W162*(1+N(Debts!$D$12)/12),2)</f>
        <v>0</v>
      </c>
      <c r="AH163" s="56" t="n">
        <f aca="false">ROUND(X162*(1+N(Debts!$D$13)/12),2)</f>
        <v>0</v>
      </c>
      <c r="AI163" s="56" t="n">
        <f aca="false">ROUND(Y162*(1+N(Debts!$D$14)/12),2)</f>
        <v>0</v>
      </c>
      <c r="AJ163" s="56" t="n">
        <f aca="false">MIN(Z163,MAX(0,N(Debts!$E$5)))</f>
        <v>0</v>
      </c>
      <c r="AK163" s="56" t="n">
        <f aca="false">MIN(AA163,MAX(0,N(Debts!$E$6)))</f>
        <v>0</v>
      </c>
      <c r="AL163" s="56" t="n">
        <f aca="false">MIN(AB163,MAX(0,N(Debts!$E$7)))</f>
        <v>0</v>
      </c>
      <c r="AM163" s="56" t="n">
        <f aca="false">MIN(AC163,MAX(0,N(Debts!$E$8)))</f>
        <v>0</v>
      </c>
      <c r="AN163" s="56" t="n">
        <f aca="false">MIN(AD163,MAX(0,N(Debts!$E$9)))</f>
        <v>0</v>
      </c>
      <c r="AO163" s="56" t="n">
        <f aca="false">MIN(AE163,MAX(0,N(Debts!$E$10)))</f>
        <v>0</v>
      </c>
      <c r="AP163" s="56" t="n">
        <f aca="false">MIN(AF163,MAX(0,N(Debts!$E$11)))</f>
        <v>0</v>
      </c>
      <c r="AQ163" s="56" t="n">
        <f aca="false">MIN(AG163,MAX(0,N(Debts!$E$12)))</f>
        <v>0</v>
      </c>
      <c r="AR163" s="56" t="n">
        <f aca="false">MIN(AH163,MAX(0,N(Debts!$E$13)))</f>
        <v>0</v>
      </c>
      <c r="AS163" s="56" t="n">
        <f aca="false">MIN(AI163,MAX(0,N(Debts!$E$14)))</f>
        <v>0</v>
      </c>
    </row>
    <row r="164" customFormat="false" ht="15" hidden="false" customHeight="false" outlineLevel="0" collapsed="false">
      <c r="A164" s="53" t="n">
        <v>160</v>
      </c>
      <c r="B164" s="54" t="n">
        <f aca="false">EDATE('Start Here'!$B$8,159)</f>
        <v>51167</v>
      </c>
      <c r="C164" s="42" t="n">
        <f aca="false">SUM(F164:O164)</f>
        <v>0</v>
      </c>
      <c r="D164" s="42" t="n">
        <f aca="false">ROUND(SUM($Z164:$AI164)-SUM(P163:Y163),2)</f>
        <v>0</v>
      </c>
      <c r="E164" s="55" t="n">
        <f aca="false">SUM(P164:Y164)</f>
        <v>0</v>
      </c>
      <c r="F164" s="42" t="n">
        <f aca="false">AJ164+MIN(Z164-AJ164,MAX(0,'Start Here'!$B$10-SUM($AJ164:$AS164)-SUMPRODUCT(($Z$3:$AI$3&lt;Z$3)*($Z164:$AI164-$AJ164:$AS164))))</f>
        <v>0</v>
      </c>
      <c r="G164" s="42" t="n">
        <f aca="false">AK164+MIN(AA164-AK164,MAX(0,'Start Here'!$B$10-SUM($AJ164:$AS164)-SUMPRODUCT(($Z$3:$AI$3&lt;AA$3)*($Z164:$AI164-$AJ164:$AS164))))</f>
        <v>0</v>
      </c>
      <c r="H164" s="42" t="n">
        <f aca="false">AL164+MIN(AB164-AL164,MAX(0,'Start Here'!$B$10-SUM($AJ164:$AS164)-SUMPRODUCT(($Z$3:$AI$3&lt;AB$3)*($Z164:$AI164-$AJ164:$AS164))))</f>
        <v>0</v>
      </c>
      <c r="I164" s="42" t="n">
        <f aca="false">AM164+MIN(AC164-AM164,MAX(0,'Start Here'!$B$10-SUM($AJ164:$AS164)-SUMPRODUCT(($Z$3:$AI$3&lt;AC$3)*($Z164:$AI164-$AJ164:$AS164))))</f>
        <v>0</v>
      </c>
      <c r="J164" s="42" t="n">
        <f aca="false">AN164+MIN(AD164-AN164,MAX(0,'Start Here'!$B$10-SUM($AJ164:$AS164)-SUMPRODUCT(($Z$3:$AI$3&lt;AD$3)*($Z164:$AI164-$AJ164:$AS164))))</f>
        <v>0</v>
      </c>
      <c r="K164" s="42" t="n">
        <f aca="false">AO164+MIN(AE164-AO164,MAX(0,'Start Here'!$B$10-SUM($AJ164:$AS164)-SUMPRODUCT(($Z$3:$AI$3&lt;AE$3)*($Z164:$AI164-$AJ164:$AS164))))</f>
        <v>0</v>
      </c>
      <c r="L164" s="42" t="n">
        <f aca="false">AP164+MIN(AF164-AP164,MAX(0,'Start Here'!$B$10-SUM($AJ164:$AS164)-SUMPRODUCT(($Z$3:$AI$3&lt;AF$3)*($Z164:$AI164-$AJ164:$AS164))))</f>
        <v>0</v>
      </c>
      <c r="M164" s="42" t="n">
        <f aca="false">AQ164+MIN(AG164-AQ164,MAX(0,'Start Here'!$B$10-SUM($AJ164:$AS164)-SUMPRODUCT(($Z$3:$AI$3&lt;AG$3)*($Z164:$AI164-$AJ164:$AS164))))</f>
        <v>0</v>
      </c>
      <c r="N164" s="42" t="n">
        <f aca="false">AR164+MIN(AH164-AR164,MAX(0,'Start Here'!$B$10-SUM($AJ164:$AS164)-SUMPRODUCT(($Z$3:$AI$3&lt;AH$3)*($Z164:$AI164-$AJ164:$AS164))))</f>
        <v>0</v>
      </c>
      <c r="O164" s="42" t="n">
        <f aca="false">AS164+MIN(AI164-AS164,MAX(0,'Start Here'!$B$10-SUM($AJ164:$AS164)-SUMPRODUCT(($Z$3:$AI$3&lt;AI$3)*($Z164:$AI164-$AJ164:$AS164))))</f>
        <v>0</v>
      </c>
      <c r="P164" s="42" t="n">
        <f aca="false">ROUND(Z164-F164,2)</f>
        <v>0</v>
      </c>
      <c r="Q164" s="42" t="n">
        <f aca="false">ROUND(AA164-G164,2)</f>
        <v>0</v>
      </c>
      <c r="R164" s="42" t="n">
        <f aca="false">ROUND(AB164-H164,2)</f>
        <v>0</v>
      </c>
      <c r="S164" s="42" t="n">
        <f aca="false">ROUND(AC164-I164,2)</f>
        <v>0</v>
      </c>
      <c r="T164" s="42" t="n">
        <f aca="false">ROUND(AD164-J164,2)</f>
        <v>0</v>
      </c>
      <c r="U164" s="42" t="n">
        <f aca="false">ROUND(AE164-K164,2)</f>
        <v>0</v>
      </c>
      <c r="V164" s="42" t="n">
        <f aca="false">ROUND(AF164-L164,2)</f>
        <v>0</v>
      </c>
      <c r="W164" s="42" t="n">
        <f aca="false">ROUND(AG164-M164,2)</f>
        <v>0</v>
      </c>
      <c r="X164" s="42" t="n">
        <f aca="false">ROUND(AH164-N164,2)</f>
        <v>0</v>
      </c>
      <c r="Y164" s="42" t="n">
        <f aca="false">ROUND(AI164-O164,2)</f>
        <v>0</v>
      </c>
      <c r="Z164" s="56" t="n">
        <f aca="false">ROUND(P163*(1+N(Debts!$D$5)/12),2)</f>
        <v>0</v>
      </c>
      <c r="AA164" s="56" t="n">
        <f aca="false">ROUND(Q163*(1+N(Debts!$D$6)/12),2)</f>
        <v>0</v>
      </c>
      <c r="AB164" s="56" t="n">
        <f aca="false">ROUND(R163*(1+N(Debts!$D$7)/12),2)</f>
        <v>0</v>
      </c>
      <c r="AC164" s="56" t="n">
        <f aca="false">ROUND(S163*(1+N(Debts!$D$8)/12),2)</f>
        <v>0</v>
      </c>
      <c r="AD164" s="56" t="n">
        <f aca="false">ROUND(T163*(1+N(Debts!$D$9)/12),2)</f>
        <v>0</v>
      </c>
      <c r="AE164" s="56" t="n">
        <f aca="false">ROUND(U163*(1+N(Debts!$D$10)/12),2)</f>
        <v>0</v>
      </c>
      <c r="AF164" s="56" t="n">
        <f aca="false">ROUND(V163*(1+N(Debts!$D$11)/12),2)</f>
        <v>0</v>
      </c>
      <c r="AG164" s="56" t="n">
        <f aca="false">ROUND(W163*(1+N(Debts!$D$12)/12),2)</f>
        <v>0</v>
      </c>
      <c r="AH164" s="56" t="n">
        <f aca="false">ROUND(X163*(1+N(Debts!$D$13)/12),2)</f>
        <v>0</v>
      </c>
      <c r="AI164" s="56" t="n">
        <f aca="false">ROUND(Y163*(1+N(Debts!$D$14)/12),2)</f>
        <v>0</v>
      </c>
      <c r="AJ164" s="56" t="n">
        <f aca="false">MIN(Z164,MAX(0,N(Debts!$E$5)))</f>
        <v>0</v>
      </c>
      <c r="AK164" s="56" t="n">
        <f aca="false">MIN(AA164,MAX(0,N(Debts!$E$6)))</f>
        <v>0</v>
      </c>
      <c r="AL164" s="56" t="n">
        <f aca="false">MIN(AB164,MAX(0,N(Debts!$E$7)))</f>
        <v>0</v>
      </c>
      <c r="AM164" s="56" t="n">
        <f aca="false">MIN(AC164,MAX(0,N(Debts!$E$8)))</f>
        <v>0</v>
      </c>
      <c r="AN164" s="56" t="n">
        <f aca="false">MIN(AD164,MAX(0,N(Debts!$E$9)))</f>
        <v>0</v>
      </c>
      <c r="AO164" s="56" t="n">
        <f aca="false">MIN(AE164,MAX(0,N(Debts!$E$10)))</f>
        <v>0</v>
      </c>
      <c r="AP164" s="56" t="n">
        <f aca="false">MIN(AF164,MAX(0,N(Debts!$E$11)))</f>
        <v>0</v>
      </c>
      <c r="AQ164" s="56" t="n">
        <f aca="false">MIN(AG164,MAX(0,N(Debts!$E$12)))</f>
        <v>0</v>
      </c>
      <c r="AR164" s="56" t="n">
        <f aca="false">MIN(AH164,MAX(0,N(Debts!$E$13)))</f>
        <v>0</v>
      </c>
      <c r="AS164" s="56" t="n">
        <f aca="false">MIN(AI164,MAX(0,N(Debts!$E$14)))</f>
        <v>0</v>
      </c>
    </row>
    <row r="165" customFormat="false" ht="15" hidden="false" customHeight="false" outlineLevel="0" collapsed="false">
      <c r="A165" s="53" t="n">
        <v>161</v>
      </c>
      <c r="B165" s="54" t="n">
        <f aca="false">EDATE('Start Here'!$B$8,160)</f>
        <v>51196</v>
      </c>
      <c r="C165" s="42" t="n">
        <f aca="false">SUM(F165:O165)</f>
        <v>0</v>
      </c>
      <c r="D165" s="42" t="n">
        <f aca="false">ROUND(SUM($Z165:$AI165)-SUM(P164:Y164),2)</f>
        <v>0</v>
      </c>
      <c r="E165" s="55" t="n">
        <f aca="false">SUM(P165:Y165)</f>
        <v>0</v>
      </c>
      <c r="F165" s="42" t="n">
        <f aca="false">AJ165+MIN(Z165-AJ165,MAX(0,'Start Here'!$B$10-SUM($AJ165:$AS165)-SUMPRODUCT(($Z$3:$AI$3&lt;Z$3)*($Z165:$AI165-$AJ165:$AS165))))</f>
        <v>0</v>
      </c>
      <c r="G165" s="42" t="n">
        <f aca="false">AK165+MIN(AA165-AK165,MAX(0,'Start Here'!$B$10-SUM($AJ165:$AS165)-SUMPRODUCT(($Z$3:$AI$3&lt;AA$3)*($Z165:$AI165-$AJ165:$AS165))))</f>
        <v>0</v>
      </c>
      <c r="H165" s="42" t="n">
        <f aca="false">AL165+MIN(AB165-AL165,MAX(0,'Start Here'!$B$10-SUM($AJ165:$AS165)-SUMPRODUCT(($Z$3:$AI$3&lt;AB$3)*($Z165:$AI165-$AJ165:$AS165))))</f>
        <v>0</v>
      </c>
      <c r="I165" s="42" t="n">
        <f aca="false">AM165+MIN(AC165-AM165,MAX(0,'Start Here'!$B$10-SUM($AJ165:$AS165)-SUMPRODUCT(($Z$3:$AI$3&lt;AC$3)*($Z165:$AI165-$AJ165:$AS165))))</f>
        <v>0</v>
      </c>
      <c r="J165" s="42" t="n">
        <f aca="false">AN165+MIN(AD165-AN165,MAX(0,'Start Here'!$B$10-SUM($AJ165:$AS165)-SUMPRODUCT(($Z$3:$AI$3&lt;AD$3)*($Z165:$AI165-$AJ165:$AS165))))</f>
        <v>0</v>
      </c>
      <c r="K165" s="42" t="n">
        <f aca="false">AO165+MIN(AE165-AO165,MAX(0,'Start Here'!$B$10-SUM($AJ165:$AS165)-SUMPRODUCT(($Z$3:$AI$3&lt;AE$3)*($Z165:$AI165-$AJ165:$AS165))))</f>
        <v>0</v>
      </c>
      <c r="L165" s="42" t="n">
        <f aca="false">AP165+MIN(AF165-AP165,MAX(0,'Start Here'!$B$10-SUM($AJ165:$AS165)-SUMPRODUCT(($Z$3:$AI$3&lt;AF$3)*($Z165:$AI165-$AJ165:$AS165))))</f>
        <v>0</v>
      </c>
      <c r="M165" s="42" t="n">
        <f aca="false">AQ165+MIN(AG165-AQ165,MAX(0,'Start Here'!$B$10-SUM($AJ165:$AS165)-SUMPRODUCT(($Z$3:$AI$3&lt;AG$3)*($Z165:$AI165-$AJ165:$AS165))))</f>
        <v>0</v>
      </c>
      <c r="N165" s="42" t="n">
        <f aca="false">AR165+MIN(AH165-AR165,MAX(0,'Start Here'!$B$10-SUM($AJ165:$AS165)-SUMPRODUCT(($Z$3:$AI$3&lt;AH$3)*($Z165:$AI165-$AJ165:$AS165))))</f>
        <v>0</v>
      </c>
      <c r="O165" s="42" t="n">
        <f aca="false">AS165+MIN(AI165-AS165,MAX(0,'Start Here'!$B$10-SUM($AJ165:$AS165)-SUMPRODUCT(($Z$3:$AI$3&lt;AI$3)*($Z165:$AI165-$AJ165:$AS165))))</f>
        <v>0</v>
      </c>
      <c r="P165" s="42" t="n">
        <f aca="false">ROUND(Z165-F165,2)</f>
        <v>0</v>
      </c>
      <c r="Q165" s="42" t="n">
        <f aca="false">ROUND(AA165-G165,2)</f>
        <v>0</v>
      </c>
      <c r="R165" s="42" t="n">
        <f aca="false">ROUND(AB165-H165,2)</f>
        <v>0</v>
      </c>
      <c r="S165" s="42" t="n">
        <f aca="false">ROUND(AC165-I165,2)</f>
        <v>0</v>
      </c>
      <c r="T165" s="42" t="n">
        <f aca="false">ROUND(AD165-J165,2)</f>
        <v>0</v>
      </c>
      <c r="U165" s="42" t="n">
        <f aca="false">ROUND(AE165-K165,2)</f>
        <v>0</v>
      </c>
      <c r="V165" s="42" t="n">
        <f aca="false">ROUND(AF165-L165,2)</f>
        <v>0</v>
      </c>
      <c r="W165" s="42" t="n">
        <f aca="false">ROUND(AG165-M165,2)</f>
        <v>0</v>
      </c>
      <c r="X165" s="42" t="n">
        <f aca="false">ROUND(AH165-N165,2)</f>
        <v>0</v>
      </c>
      <c r="Y165" s="42" t="n">
        <f aca="false">ROUND(AI165-O165,2)</f>
        <v>0</v>
      </c>
      <c r="Z165" s="56" t="n">
        <f aca="false">ROUND(P164*(1+N(Debts!$D$5)/12),2)</f>
        <v>0</v>
      </c>
      <c r="AA165" s="56" t="n">
        <f aca="false">ROUND(Q164*(1+N(Debts!$D$6)/12),2)</f>
        <v>0</v>
      </c>
      <c r="AB165" s="56" t="n">
        <f aca="false">ROUND(R164*(1+N(Debts!$D$7)/12),2)</f>
        <v>0</v>
      </c>
      <c r="AC165" s="56" t="n">
        <f aca="false">ROUND(S164*(1+N(Debts!$D$8)/12),2)</f>
        <v>0</v>
      </c>
      <c r="AD165" s="56" t="n">
        <f aca="false">ROUND(T164*(1+N(Debts!$D$9)/12),2)</f>
        <v>0</v>
      </c>
      <c r="AE165" s="56" t="n">
        <f aca="false">ROUND(U164*(1+N(Debts!$D$10)/12),2)</f>
        <v>0</v>
      </c>
      <c r="AF165" s="56" t="n">
        <f aca="false">ROUND(V164*(1+N(Debts!$D$11)/12),2)</f>
        <v>0</v>
      </c>
      <c r="AG165" s="56" t="n">
        <f aca="false">ROUND(W164*(1+N(Debts!$D$12)/12),2)</f>
        <v>0</v>
      </c>
      <c r="AH165" s="56" t="n">
        <f aca="false">ROUND(X164*(1+N(Debts!$D$13)/12),2)</f>
        <v>0</v>
      </c>
      <c r="AI165" s="56" t="n">
        <f aca="false">ROUND(Y164*(1+N(Debts!$D$14)/12),2)</f>
        <v>0</v>
      </c>
      <c r="AJ165" s="56" t="n">
        <f aca="false">MIN(Z165,MAX(0,N(Debts!$E$5)))</f>
        <v>0</v>
      </c>
      <c r="AK165" s="56" t="n">
        <f aca="false">MIN(AA165,MAX(0,N(Debts!$E$6)))</f>
        <v>0</v>
      </c>
      <c r="AL165" s="56" t="n">
        <f aca="false">MIN(AB165,MAX(0,N(Debts!$E$7)))</f>
        <v>0</v>
      </c>
      <c r="AM165" s="56" t="n">
        <f aca="false">MIN(AC165,MAX(0,N(Debts!$E$8)))</f>
        <v>0</v>
      </c>
      <c r="AN165" s="56" t="n">
        <f aca="false">MIN(AD165,MAX(0,N(Debts!$E$9)))</f>
        <v>0</v>
      </c>
      <c r="AO165" s="56" t="n">
        <f aca="false">MIN(AE165,MAX(0,N(Debts!$E$10)))</f>
        <v>0</v>
      </c>
      <c r="AP165" s="56" t="n">
        <f aca="false">MIN(AF165,MAX(0,N(Debts!$E$11)))</f>
        <v>0</v>
      </c>
      <c r="AQ165" s="56" t="n">
        <f aca="false">MIN(AG165,MAX(0,N(Debts!$E$12)))</f>
        <v>0</v>
      </c>
      <c r="AR165" s="56" t="n">
        <f aca="false">MIN(AH165,MAX(0,N(Debts!$E$13)))</f>
        <v>0</v>
      </c>
      <c r="AS165" s="56" t="n">
        <f aca="false">MIN(AI165,MAX(0,N(Debts!$E$14)))</f>
        <v>0</v>
      </c>
    </row>
    <row r="166" customFormat="false" ht="15" hidden="false" customHeight="false" outlineLevel="0" collapsed="false">
      <c r="A166" s="53" t="n">
        <v>162</v>
      </c>
      <c r="B166" s="54" t="n">
        <f aca="false">EDATE('Start Here'!$B$8,161)</f>
        <v>51227</v>
      </c>
      <c r="C166" s="42" t="n">
        <f aca="false">SUM(F166:O166)</f>
        <v>0</v>
      </c>
      <c r="D166" s="42" t="n">
        <f aca="false">ROUND(SUM($Z166:$AI166)-SUM(P165:Y165),2)</f>
        <v>0</v>
      </c>
      <c r="E166" s="55" t="n">
        <f aca="false">SUM(P166:Y166)</f>
        <v>0</v>
      </c>
      <c r="F166" s="42" t="n">
        <f aca="false">AJ166+MIN(Z166-AJ166,MAX(0,'Start Here'!$B$10-SUM($AJ166:$AS166)-SUMPRODUCT(($Z$3:$AI$3&lt;Z$3)*($Z166:$AI166-$AJ166:$AS166))))</f>
        <v>0</v>
      </c>
      <c r="G166" s="42" t="n">
        <f aca="false">AK166+MIN(AA166-AK166,MAX(0,'Start Here'!$B$10-SUM($AJ166:$AS166)-SUMPRODUCT(($Z$3:$AI$3&lt;AA$3)*($Z166:$AI166-$AJ166:$AS166))))</f>
        <v>0</v>
      </c>
      <c r="H166" s="42" t="n">
        <f aca="false">AL166+MIN(AB166-AL166,MAX(0,'Start Here'!$B$10-SUM($AJ166:$AS166)-SUMPRODUCT(($Z$3:$AI$3&lt;AB$3)*($Z166:$AI166-$AJ166:$AS166))))</f>
        <v>0</v>
      </c>
      <c r="I166" s="42" t="n">
        <f aca="false">AM166+MIN(AC166-AM166,MAX(0,'Start Here'!$B$10-SUM($AJ166:$AS166)-SUMPRODUCT(($Z$3:$AI$3&lt;AC$3)*($Z166:$AI166-$AJ166:$AS166))))</f>
        <v>0</v>
      </c>
      <c r="J166" s="42" t="n">
        <f aca="false">AN166+MIN(AD166-AN166,MAX(0,'Start Here'!$B$10-SUM($AJ166:$AS166)-SUMPRODUCT(($Z$3:$AI$3&lt;AD$3)*($Z166:$AI166-$AJ166:$AS166))))</f>
        <v>0</v>
      </c>
      <c r="K166" s="42" t="n">
        <f aca="false">AO166+MIN(AE166-AO166,MAX(0,'Start Here'!$B$10-SUM($AJ166:$AS166)-SUMPRODUCT(($Z$3:$AI$3&lt;AE$3)*($Z166:$AI166-$AJ166:$AS166))))</f>
        <v>0</v>
      </c>
      <c r="L166" s="42" t="n">
        <f aca="false">AP166+MIN(AF166-AP166,MAX(0,'Start Here'!$B$10-SUM($AJ166:$AS166)-SUMPRODUCT(($Z$3:$AI$3&lt;AF$3)*($Z166:$AI166-$AJ166:$AS166))))</f>
        <v>0</v>
      </c>
      <c r="M166" s="42" t="n">
        <f aca="false">AQ166+MIN(AG166-AQ166,MAX(0,'Start Here'!$B$10-SUM($AJ166:$AS166)-SUMPRODUCT(($Z$3:$AI$3&lt;AG$3)*($Z166:$AI166-$AJ166:$AS166))))</f>
        <v>0</v>
      </c>
      <c r="N166" s="42" t="n">
        <f aca="false">AR166+MIN(AH166-AR166,MAX(0,'Start Here'!$B$10-SUM($AJ166:$AS166)-SUMPRODUCT(($Z$3:$AI$3&lt;AH$3)*($Z166:$AI166-$AJ166:$AS166))))</f>
        <v>0</v>
      </c>
      <c r="O166" s="42" t="n">
        <f aca="false">AS166+MIN(AI166-AS166,MAX(0,'Start Here'!$B$10-SUM($AJ166:$AS166)-SUMPRODUCT(($Z$3:$AI$3&lt;AI$3)*($Z166:$AI166-$AJ166:$AS166))))</f>
        <v>0</v>
      </c>
      <c r="P166" s="42" t="n">
        <f aca="false">ROUND(Z166-F166,2)</f>
        <v>0</v>
      </c>
      <c r="Q166" s="42" t="n">
        <f aca="false">ROUND(AA166-G166,2)</f>
        <v>0</v>
      </c>
      <c r="R166" s="42" t="n">
        <f aca="false">ROUND(AB166-H166,2)</f>
        <v>0</v>
      </c>
      <c r="S166" s="42" t="n">
        <f aca="false">ROUND(AC166-I166,2)</f>
        <v>0</v>
      </c>
      <c r="T166" s="42" t="n">
        <f aca="false">ROUND(AD166-J166,2)</f>
        <v>0</v>
      </c>
      <c r="U166" s="42" t="n">
        <f aca="false">ROUND(AE166-K166,2)</f>
        <v>0</v>
      </c>
      <c r="V166" s="42" t="n">
        <f aca="false">ROUND(AF166-L166,2)</f>
        <v>0</v>
      </c>
      <c r="W166" s="42" t="n">
        <f aca="false">ROUND(AG166-M166,2)</f>
        <v>0</v>
      </c>
      <c r="X166" s="42" t="n">
        <f aca="false">ROUND(AH166-N166,2)</f>
        <v>0</v>
      </c>
      <c r="Y166" s="42" t="n">
        <f aca="false">ROUND(AI166-O166,2)</f>
        <v>0</v>
      </c>
      <c r="Z166" s="56" t="n">
        <f aca="false">ROUND(P165*(1+N(Debts!$D$5)/12),2)</f>
        <v>0</v>
      </c>
      <c r="AA166" s="56" t="n">
        <f aca="false">ROUND(Q165*(1+N(Debts!$D$6)/12),2)</f>
        <v>0</v>
      </c>
      <c r="AB166" s="56" t="n">
        <f aca="false">ROUND(R165*(1+N(Debts!$D$7)/12),2)</f>
        <v>0</v>
      </c>
      <c r="AC166" s="56" t="n">
        <f aca="false">ROUND(S165*(1+N(Debts!$D$8)/12),2)</f>
        <v>0</v>
      </c>
      <c r="AD166" s="56" t="n">
        <f aca="false">ROUND(T165*(1+N(Debts!$D$9)/12),2)</f>
        <v>0</v>
      </c>
      <c r="AE166" s="56" t="n">
        <f aca="false">ROUND(U165*(1+N(Debts!$D$10)/12),2)</f>
        <v>0</v>
      </c>
      <c r="AF166" s="56" t="n">
        <f aca="false">ROUND(V165*(1+N(Debts!$D$11)/12),2)</f>
        <v>0</v>
      </c>
      <c r="AG166" s="56" t="n">
        <f aca="false">ROUND(W165*(1+N(Debts!$D$12)/12),2)</f>
        <v>0</v>
      </c>
      <c r="AH166" s="56" t="n">
        <f aca="false">ROUND(X165*(1+N(Debts!$D$13)/12),2)</f>
        <v>0</v>
      </c>
      <c r="AI166" s="56" t="n">
        <f aca="false">ROUND(Y165*(1+N(Debts!$D$14)/12),2)</f>
        <v>0</v>
      </c>
      <c r="AJ166" s="56" t="n">
        <f aca="false">MIN(Z166,MAX(0,N(Debts!$E$5)))</f>
        <v>0</v>
      </c>
      <c r="AK166" s="56" t="n">
        <f aca="false">MIN(AA166,MAX(0,N(Debts!$E$6)))</f>
        <v>0</v>
      </c>
      <c r="AL166" s="56" t="n">
        <f aca="false">MIN(AB166,MAX(0,N(Debts!$E$7)))</f>
        <v>0</v>
      </c>
      <c r="AM166" s="56" t="n">
        <f aca="false">MIN(AC166,MAX(0,N(Debts!$E$8)))</f>
        <v>0</v>
      </c>
      <c r="AN166" s="56" t="n">
        <f aca="false">MIN(AD166,MAX(0,N(Debts!$E$9)))</f>
        <v>0</v>
      </c>
      <c r="AO166" s="56" t="n">
        <f aca="false">MIN(AE166,MAX(0,N(Debts!$E$10)))</f>
        <v>0</v>
      </c>
      <c r="AP166" s="56" t="n">
        <f aca="false">MIN(AF166,MAX(0,N(Debts!$E$11)))</f>
        <v>0</v>
      </c>
      <c r="AQ166" s="56" t="n">
        <f aca="false">MIN(AG166,MAX(0,N(Debts!$E$12)))</f>
        <v>0</v>
      </c>
      <c r="AR166" s="56" t="n">
        <f aca="false">MIN(AH166,MAX(0,N(Debts!$E$13)))</f>
        <v>0</v>
      </c>
      <c r="AS166" s="56" t="n">
        <f aca="false">MIN(AI166,MAX(0,N(Debts!$E$14)))</f>
        <v>0</v>
      </c>
    </row>
    <row r="167" customFormat="false" ht="15" hidden="false" customHeight="false" outlineLevel="0" collapsed="false">
      <c r="A167" s="53" t="n">
        <v>163</v>
      </c>
      <c r="B167" s="54" t="n">
        <f aca="false">EDATE('Start Here'!$B$8,162)</f>
        <v>51257</v>
      </c>
      <c r="C167" s="42" t="n">
        <f aca="false">SUM(F167:O167)</f>
        <v>0</v>
      </c>
      <c r="D167" s="42" t="n">
        <f aca="false">ROUND(SUM($Z167:$AI167)-SUM(P166:Y166),2)</f>
        <v>0</v>
      </c>
      <c r="E167" s="55" t="n">
        <f aca="false">SUM(P167:Y167)</f>
        <v>0</v>
      </c>
      <c r="F167" s="42" t="n">
        <f aca="false">AJ167+MIN(Z167-AJ167,MAX(0,'Start Here'!$B$10-SUM($AJ167:$AS167)-SUMPRODUCT(($Z$3:$AI$3&lt;Z$3)*($Z167:$AI167-$AJ167:$AS167))))</f>
        <v>0</v>
      </c>
      <c r="G167" s="42" t="n">
        <f aca="false">AK167+MIN(AA167-AK167,MAX(0,'Start Here'!$B$10-SUM($AJ167:$AS167)-SUMPRODUCT(($Z$3:$AI$3&lt;AA$3)*($Z167:$AI167-$AJ167:$AS167))))</f>
        <v>0</v>
      </c>
      <c r="H167" s="42" t="n">
        <f aca="false">AL167+MIN(AB167-AL167,MAX(0,'Start Here'!$B$10-SUM($AJ167:$AS167)-SUMPRODUCT(($Z$3:$AI$3&lt;AB$3)*($Z167:$AI167-$AJ167:$AS167))))</f>
        <v>0</v>
      </c>
      <c r="I167" s="42" t="n">
        <f aca="false">AM167+MIN(AC167-AM167,MAX(0,'Start Here'!$B$10-SUM($AJ167:$AS167)-SUMPRODUCT(($Z$3:$AI$3&lt;AC$3)*($Z167:$AI167-$AJ167:$AS167))))</f>
        <v>0</v>
      </c>
      <c r="J167" s="42" t="n">
        <f aca="false">AN167+MIN(AD167-AN167,MAX(0,'Start Here'!$B$10-SUM($AJ167:$AS167)-SUMPRODUCT(($Z$3:$AI$3&lt;AD$3)*($Z167:$AI167-$AJ167:$AS167))))</f>
        <v>0</v>
      </c>
      <c r="K167" s="42" t="n">
        <f aca="false">AO167+MIN(AE167-AO167,MAX(0,'Start Here'!$B$10-SUM($AJ167:$AS167)-SUMPRODUCT(($Z$3:$AI$3&lt;AE$3)*($Z167:$AI167-$AJ167:$AS167))))</f>
        <v>0</v>
      </c>
      <c r="L167" s="42" t="n">
        <f aca="false">AP167+MIN(AF167-AP167,MAX(0,'Start Here'!$B$10-SUM($AJ167:$AS167)-SUMPRODUCT(($Z$3:$AI$3&lt;AF$3)*($Z167:$AI167-$AJ167:$AS167))))</f>
        <v>0</v>
      </c>
      <c r="M167" s="42" t="n">
        <f aca="false">AQ167+MIN(AG167-AQ167,MAX(0,'Start Here'!$B$10-SUM($AJ167:$AS167)-SUMPRODUCT(($Z$3:$AI$3&lt;AG$3)*($Z167:$AI167-$AJ167:$AS167))))</f>
        <v>0</v>
      </c>
      <c r="N167" s="42" t="n">
        <f aca="false">AR167+MIN(AH167-AR167,MAX(0,'Start Here'!$B$10-SUM($AJ167:$AS167)-SUMPRODUCT(($Z$3:$AI$3&lt;AH$3)*($Z167:$AI167-$AJ167:$AS167))))</f>
        <v>0</v>
      </c>
      <c r="O167" s="42" t="n">
        <f aca="false">AS167+MIN(AI167-AS167,MAX(0,'Start Here'!$B$10-SUM($AJ167:$AS167)-SUMPRODUCT(($Z$3:$AI$3&lt;AI$3)*($Z167:$AI167-$AJ167:$AS167))))</f>
        <v>0</v>
      </c>
      <c r="P167" s="42" t="n">
        <f aca="false">ROUND(Z167-F167,2)</f>
        <v>0</v>
      </c>
      <c r="Q167" s="42" t="n">
        <f aca="false">ROUND(AA167-G167,2)</f>
        <v>0</v>
      </c>
      <c r="R167" s="42" t="n">
        <f aca="false">ROUND(AB167-H167,2)</f>
        <v>0</v>
      </c>
      <c r="S167" s="42" t="n">
        <f aca="false">ROUND(AC167-I167,2)</f>
        <v>0</v>
      </c>
      <c r="T167" s="42" t="n">
        <f aca="false">ROUND(AD167-J167,2)</f>
        <v>0</v>
      </c>
      <c r="U167" s="42" t="n">
        <f aca="false">ROUND(AE167-K167,2)</f>
        <v>0</v>
      </c>
      <c r="V167" s="42" t="n">
        <f aca="false">ROUND(AF167-L167,2)</f>
        <v>0</v>
      </c>
      <c r="W167" s="42" t="n">
        <f aca="false">ROUND(AG167-M167,2)</f>
        <v>0</v>
      </c>
      <c r="X167" s="42" t="n">
        <f aca="false">ROUND(AH167-N167,2)</f>
        <v>0</v>
      </c>
      <c r="Y167" s="42" t="n">
        <f aca="false">ROUND(AI167-O167,2)</f>
        <v>0</v>
      </c>
      <c r="Z167" s="56" t="n">
        <f aca="false">ROUND(P166*(1+N(Debts!$D$5)/12),2)</f>
        <v>0</v>
      </c>
      <c r="AA167" s="56" t="n">
        <f aca="false">ROUND(Q166*(1+N(Debts!$D$6)/12),2)</f>
        <v>0</v>
      </c>
      <c r="AB167" s="56" t="n">
        <f aca="false">ROUND(R166*(1+N(Debts!$D$7)/12),2)</f>
        <v>0</v>
      </c>
      <c r="AC167" s="56" t="n">
        <f aca="false">ROUND(S166*(1+N(Debts!$D$8)/12),2)</f>
        <v>0</v>
      </c>
      <c r="AD167" s="56" t="n">
        <f aca="false">ROUND(T166*(1+N(Debts!$D$9)/12),2)</f>
        <v>0</v>
      </c>
      <c r="AE167" s="56" t="n">
        <f aca="false">ROUND(U166*(1+N(Debts!$D$10)/12),2)</f>
        <v>0</v>
      </c>
      <c r="AF167" s="56" t="n">
        <f aca="false">ROUND(V166*(1+N(Debts!$D$11)/12),2)</f>
        <v>0</v>
      </c>
      <c r="AG167" s="56" t="n">
        <f aca="false">ROUND(W166*(1+N(Debts!$D$12)/12),2)</f>
        <v>0</v>
      </c>
      <c r="AH167" s="56" t="n">
        <f aca="false">ROUND(X166*(1+N(Debts!$D$13)/12),2)</f>
        <v>0</v>
      </c>
      <c r="AI167" s="56" t="n">
        <f aca="false">ROUND(Y166*(1+N(Debts!$D$14)/12),2)</f>
        <v>0</v>
      </c>
      <c r="AJ167" s="56" t="n">
        <f aca="false">MIN(Z167,MAX(0,N(Debts!$E$5)))</f>
        <v>0</v>
      </c>
      <c r="AK167" s="56" t="n">
        <f aca="false">MIN(AA167,MAX(0,N(Debts!$E$6)))</f>
        <v>0</v>
      </c>
      <c r="AL167" s="56" t="n">
        <f aca="false">MIN(AB167,MAX(0,N(Debts!$E$7)))</f>
        <v>0</v>
      </c>
      <c r="AM167" s="56" t="n">
        <f aca="false">MIN(AC167,MAX(0,N(Debts!$E$8)))</f>
        <v>0</v>
      </c>
      <c r="AN167" s="56" t="n">
        <f aca="false">MIN(AD167,MAX(0,N(Debts!$E$9)))</f>
        <v>0</v>
      </c>
      <c r="AO167" s="56" t="n">
        <f aca="false">MIN(AE167,MAX(0,N(Debts!$E$10)))</f>
        <v>0</v>
      </c>
      <c r="AP167" s="56" t="n">
        <f aca="false">MIN(AF167,MAX(0,N(Debts!$E$11)))</f>
        <v>0</v>
      </c>
      <c r="AQ167" s="56" t="n">
        <f aca="false">MIN(AG167,MAX(0,N(Debts!$E$12)))</f>
        <v>0</v>
      </c>
      <c r="AR167" s="56" t="n">
        <f aca="false">MIN(AH167,MAX(0,N(Debts!$E$13)))</f>
        <v>0</v>
      </c>
      <c r="AS167" s="56" t="n">
        <f aca="false">MIN(AI167,MAX(0,N(Debts!$E$14)))</f>
        <v>0</v>
      </c>
    </row>
    <row r="168" customFormat="false" ht="15" hidden="false" customHeight="false" outlineLevel="0" collapsed="false">
      <c r="A168" s="53" t="n">
        <v>164</v>
      </c>
      <c r="B168" s="54" t="n">
        <f aca="false">EDATE('Start Here'!$B$8,163)</f>
        <v>51288</v>
      </c>
      <c r="C168" s="42" t="n">
        <f aca="false">SUM(F168:O168)</f>
        <v>0</v>
      </c>
      <c r="D168" s="42" t="n">
        <f aca="false">ROUND(SUM($Z168:$AI168)-SUM(P167:Y167),2)</f>
        <v>0</v>
      </c>
      <c r="E168" s="55" t="n">
        <f aca="false">SUM(P168:Y168)</f>
        <v>0</v>
      </c>
      <c r="F168" s="42" t="n">
        <f aca="false">AJ168+MIN(Z168-AJ168,MAX(0,'Start Here'!$B$10-SUM($AJ168:$AS168)-SUMPRODUCT(($Z$3:$AI$3&lt;Z$3)*($Z168:$AI168-$AJ168:$AS168))))</f>
        <v>0</v>
      </c>
      <c r="G168" s="42" t="n">
        <f aca="false">AK168+MIN(AA168-AK168,MAX(0,'Start Here'!$B$10-SUM($AJ168:$AS168)-SUMPRODUCT(($Z$3:$AI$3&lt;AA$3)*($Z168:$AI168-$AJ168:$AS168))))</f>
        <v>0</v>
      </c>
      <c r="H168" s="42" t="n">
        <f aca="false">AL168+MIN(AB168-AL168,MAX(0,'Start Here'!$B$10-SUM($AJ168:$AS168)-SUMPRODUCT(($Z$3:$AI$3&lt;AB$3)*($Z168:$AI168-$AJ168:$AS168))))</f>
        <v>0</v>
      </c>
      <c r="I168" s="42" t="n">
        <f aca="false">AM168+MIN(AC168-AM168,MAX(0,'Start Here'!$B$10-SUM($AJ168:$AS168)-SUMPRODUCT(($Z$3:$AI$3&lt;AC$3)*($Z168:$AI168-$AJ168:$AS168))))</f>
        <v>0</v>
      </c>
      <c r="J168" s="42" t="n">
        <f aca="false">AN168+MIN(AD168-AN168,MAX(0,'Start Here'!$B$10-SUM($AJ168:$AS168)-SUMPRODUCT(($Z$3:$AI$3&lt;AD$3)*($Z168:$AI168-$AJ168:$AS168))))</f>
        <v>0</v>
      </c>
      <c r="K168" s="42" t="n">
        <f aca="false">AO168+MIN(AE168-AO168,MAX(0,'Start Here'!$B$10-SUM($AJ168:$AS168)-SUMPRODUCT(($Z$3:$AI$3&lt;AE$3)*($Z168:$AI168-$AJ168:$AS168))))</f>
        <v>0</v>
      </c>
      <c r="L168" s="42" t="n">
        <f aca="false">AP168+MIN(AF168-AP168,MAX(0,'Start Here'!$B$10-SUM($AJ168:$AS168)-SUMPRODUCT(($Z$3:$AI$3&lt;AF$3)*($Z168:$AI168-$AJ168:$AS168))))</f>
        <v>0</v>
      </c>
      <c r="M168" s="42" t="n">
        <f aca="false">AQ168+MIN(AG168-AQ168,MAX(0,'Start Here'!$B$10-SUM($AJ168:$AS168)-SUMPRODUCT(($Z$3:$AI$3&lt;AG$3)*($Z168:$AI168-$AJ168:$AS168))))</f>
        <v>0</v>
      </c>
      <c r="N168" s="42" t="n">
        <f aca="false">AR168+MIN(AH168-AR168,MAX(0,'Start Here'!$B$10-SUM($AJ168:$AS168)-SUMPRODUCT(($Z$3:$AI$3&lt;AH$3)*($Z168:$AI168-$AJ168:$AS168))))</f>
        <v>0</v>
      </c>
      <c r="O168" s="42" t="n">
        <f aca="false">AS168+MIN(AI168-AS168,MAX(0,'Start Here'!$B$10-SUM($AJ168:$AS168)-SUMPRODUCT(($Z$3:$AI$3&lt;AI$3)*($Z168:$AI168-$AJ168:$AS168))))</f>
        <v>0</v>
      </c>
      <c r="P168" s="42" t="n">
        <f aca="false">ROUND(Z168-F168,2)</f>
        <v>0</v>
      </c>
      <c r="Q168" s="42" t="n">
        <f aca="false">ROUND(AA168-G168,2)</f>
        <v>0</v>
      </c>
      <c r="R168" s="42" t="n">
        <f aca="false">ROUND(AB168-H168,2)</f>
        <v>0</v>
      </c>
      <c r="S168" s="42" t="n">
        <f aca="false">ROUND(AC168-I168,2)</f>
        <v>0</v>
      </c>
      <c r="T168" s="42" t="n">
        <f aca="false">ROUND(AD168-J168,2)</f>
        <v>0</v>
      </c>
      <c r="U168" s="42" t="n">
        <f aca="false">ROUND(AE168-K168,2)</f>
        <v>0</v>
      </c>
      <c r="V168" s="42" t="n">
        <f aca="false">ROUND(AF168-L168,2)</f>
        <v>0</v>
      </c>
      <c r="W168" s="42" t="n">
        <f aca="false">ROUND(AG168-M168,2)</f>
        <v>0</v>
      </c>
      <c r="X168" s="42" t="n">
        <f aca="false">ROUND(AH168-N168,2)</f>
        <v>0</v>
      </c>
      <c r="Y168" s="42" t="n">
        <f aca="false">ROUND(AI168-O168,2)</f>
        <v>0</v>
      </c>
      <c r="Z168" s="56" t="n">
        <f aca="false">ROUND(P167*(1+N(Debts!$D$5)/12),2)</f>
        <v>0</v>
      </c>
      <c r="AA168" s="56" t="n">
        <f aca="false">ROUND(Q167*(1+N(Debts!$D$6)/12),2)</f>
        <v>0</v>
      </c>
      <c r="AB168" s="56" t="n">
        <f aca="false">ROUND(R167*(1+N(Debts!$D$7)/12),2)</f>
        <v>0</v>
      </c>
      <c r="AC168" s="56" t="n">
        <f aca="false">ROUND(S167*(1+N(Debts!$D$8)/12),2)</f>
        <v>0</v>
      </c>
      <c r="AD168" s="56" t="n">
        <f aca="false">ROUND(T167*(1+N(Debts!$D$9)/12),2)</f>
        <v>0</v>
      </c>
      <c r="AE168" s="56" t="n">
        <f aca="false">ROUND(U167*(1+N(Debts!$D$10)/12),2)</f>
        <v>0</v>
      </c>
      <c r="AF168" s="56" t="n">
        <f aca="false">ROUND(V167*(1+N(Debts!$D$11)/12),2)</f>
        <v>0</v>
      </c>
      <c r="AG168" s="56" t="n">
        <f aca="false">ROUND(W167*(1+N(Debts!$D$12)/12),2)</f>
        <v>0</v>
      </c>
      <c r="AH168" s="56" t="n">
        <f aca="false">ROUND(X167*(1+N(Debts!$D$13)/12),2)</f>
        <v>0</v>
      </c>
      <c r="AI168" s="56" t="n">
        <f aca="false">ROUND(Y167*(1+N(Debts!$D$14)/12),2)</f>
        <v>0</v>
      </c>
      <c r="AJ168" s="56" t="n">
        <f aca="false">MIN(Z168,MAX(0,N(Debts!$E$5)))</f>
        <v>0</v>
      </c>
      <c r="AK168" s="56" t="n">
        <f aca="false">MIN(AA168,MAX(0,N(Debts!$E$6)))</f>
        <v>0</v>
      </c>
      <c r="AL168" s="56" t="n">
        <f aca="false">MIN(AB168,MAX(0,N(Debts!$E$7)))</f>
        <v>0</v>
      </c>
      <c r="AM168" s="56" t="n">
        <f aca="false">MIN(AC168,MAX(0,N(Debts!$E$8)))</f>
        <v>0</v>
      </c>
      <c r="AN168" s="56" t="n">
        <f aca="false">MIN(AD168,MAX(0,N(Debts!$E$9)))</f>
        <v>0</v>
      </c>
      <c r="AO168" s="56" t="n">
        <f aca="false">MIN(AE168,MAX(0,N(Debts!$E$10)))</f>
        <v>0</v>
      </c>
      <c r="AP168" s="56" t="n">
        <f aca="false">MIN(AF168,MAX(0,N(Debts!$E$11)))</f>
        <v>0</v>
      </c>
      <c r="AQ168" s="56" t="n">
        <f aca="false">MIN(AG168,MAX(0,N(Debts!$E$12)))</f>
        <v>0</v>
      </c>
      <c r="AR168" s="56" t="n">
        <f aca="false">MIN(AH168,MAX(0,N(Debts!$E$13)))</f>
        <v>0</v>
      </c>
      <c r="AS168" s="56" t="n">
        <f aca="false">MIN(AI168,MAX(0,N(Debts!$E$14)))</f>
        <v>0</v>
      </c>
    </row>
    <row r="169" customFormat="false" ht="15" hidden="false" customHeight="false" outlineLevel="0" collapsed="false">
      <c r="A169" s="53" t="n">
        <v>165</v>
      </c>
      <c r="B169" s="54" t="n">
        <f aca="false">EDATE('Start Here'!$B$8,164)</f>
        <v>51318</v>
      </c>
      <c r="C169" s="42" t="n">
        <f aca="false">SUM(F169:O169)</f>
        <v>0</v>
      </c>
      <c r="D169" s="42" t="n">
        <f aca="false">ROUND(SUM($Z169:$AI169)-SUM(P168:Y168),2)</f>
        <v>0</v>
      </c>
      <c r="E169" s="55" t="n">
        <f aca="false">SUM(P169:Y169)</f>
        <v>0</v>
      </c>
      <c r="F169" s="42" t="n">
        <f aca="false">AJ169+MIN(Z169-AJ169,MAX(0,'Start Here'!$B$10-SUM($AJ169:$AS169)-SUMPRODUCT(($Z$3:$AI$3&lt;Z$3)*($Z169:$AI169-$AJ169:$AS169))))</f>
        <v>0</v>
      </c>
      <c r="G169" s="42" t="n">
        <f aca="false">AK169+MIN(AA169-AK169,MAX(0,'Start Here'!$B$10-SUM($AJ169:$AS169)-SUMPRODUCT(($Z$3:$AI$3&lt;AA$3)*($Z169:$AI169-$AJ169:$AS169))))</f>
        <v>0</v>
      </c>
      <c r="H169" s="42" t="n">
        <f aca="false">AL169+MIN(AB169-AL169,MAX(0,'Start Here'!$B$10-SUM($AJ169:$AS169)-SUMPRODUCT(($Z$3:$AI$3&lt;AB$3)*($Z169:$AI169-$AJ169:$AS169))))</f>
        <v>0</v>
      </c>
      <c r="I169" s="42" t="n">
        <f aca="false">AM169+MIN(AC169-AM169,MAX(0,'Start Here'!$B$10-SUM($AJ169:$AS169)-SUMPRODUCT(($Z$3:$AI$3&lt;AC$3)*($Z169:$AI169-$AJ169:$AS169))))</f>
        <v>0</v>
      </c>
      <c r="J169" s="42" t="n">
        <f aca="false">AN169+MIN(AD169-AN169,MAX(0,'Start Here'!$B$10-SUM($AJ169:$AS169)-SUMPRODUCT(($Z$3:$AI$3&lt;AD$3)*($Z169:$AI169-$AJ169:$AS169))))</f>
        <v>0</v>
      </c>
      <c r="K169" s="42" t="n">
        <f aca="false">AO169+MIN(AE169-AO169,MAX(0,'Start Here'!$B$10-SUM($AJ169:$AS169)-SUMPRODUCT(($Z$3:$AI$3&lt;AE$3)*($Z169:$AI169-$AJ169:$AS169))))</f>
        <v>0</v>
      </c>
      <c r="L169" s="42" t="n">
        <f aca="false">AP169+MIN(AF169-AP169,MAX(0,'Start Here'!$B$10-SUM($AJ169:$AS169)-SUMPRODUCT(($Z$3:$AI$3&lt;AF$3)*($Z169:$AI169-$AJ169:$AS169))))</f>
        <v>0</v>
      </c>
      <c r="M169" s="42" t="n">
        <f aca="false">AQ169+MIN(AG169-AQ169,MAX(0,'Start Here'!$B$10-SUM($AJ169:$AS169)-SUMPRODUCT(($Z$3:$AI$3&lt;AG$3)*($Z169:$AI169-$AJ169:$AS169))))</f>
        <v>0</v>
      </c>
      <c r="N169" s="42" t="n">
        <f aca="false">AR169+MIN(AH169-AR169,MAX(0,'Start Here'!$B$10-SUM($AJ169:$AS169)-SUMPRODUCT(($Z$3:$AI$3&lt;AH$3)*($Z169:$AI169-$AJ169:$AS169))))</f>
        <v>0</v>
      </c>
      <c r="O169" s="42" t="n">
        <f aca="false">AS169+MIN(AI169-AS169,MAX(0,'Start Here'!$B$10-SUM($AJ169:$AS169)-SUMPRODUCT(($Z$3:$AI$3&lt;AI$3)*($Z169:$AI169-$AJ169:$AS169))))</f>
        <v>0</v>
      </c>
      <c r="P169" s="42" t="n">
        <f aca="false">ROUND(Z169-F169,2)</f>
        <v>0</v>
      </c>
      <c r="Q169" s="42" t="n">
        <f aca="false">ROUND(AA169-G169,2)</f>
        <v>0</v>
      </c>
      <c r="R169" s="42" t="n">
        <f aca="false">ROUND(AB169-H169,2)</f>
        <v>0</v>
      </c>
      <c r="S169" s="42" t="n">
        <f aca="false">ROUND(AC169-I169,2)</f>
        <v>0</v>
      </c>
      <c r="T169" s="42" t="n">
        <f aca="false">ROUND(AD169-J169,2)</f>
        <v>0</v>
      </c>
      <c r="U169" s="42" t="n">
        <f aca="false">ROUND(AE169-K169,2)</f>
        <v>0</v>
      </c>
      <c r="V169" s="42" t="n">
        <f aca="false">ROUND(AF169-L169,2)</f>
        <v>0</v>
      </c>
      <c r="W169" s="42" t="n">
        <f aca="false">ROUND(AG169-M169,2)</f>
        <v>0</v>
      </c>
      <c r="X169" s="42" t="n">
        <f aca="false">ROUND(AH169-N169,2)</f>
        <v>0</v>
      </c>
      <c r="Y169" s="42" t="n">
        <f aca="false">ROUND(AI169-O169,2)</f>
        <v>0</v>
      </c>
      <c r="Z169" s="56" t="n">
        <f aca="false">ROUND(P168*(1+N(Debts!$D$5)/12),2)</f>
        <v>0</v>
      </c>
      <c r="AA169" s="56" t="n">
        <f aca="false">ROUND(Q168*(1+N(Debts!$D$6)/12),2)</f>
        <v>0</v>
      </c>
      <c r="AB169" s="56" t="n">
        <f aca="false">ROUND(R168*(1+N(Debts!$D$7)/12),2)</f>
        <v>0</v>
      </c>
      <c r="AC169" s="56" t="n">
        <f aca="false">ROUND(S168*(1+N(Debts!$D$8)/12),2)</f>
        <v>0</v>
      </c>
      <c r="AD169" s="56" t="n">
        <f aca="false">ROUND(T168*(1+N(Debts!$D$9)/12),2)</f>
        <v>0</v>
      </c>
      <c r="AE169" s="56" t="n">
        <f aca="false">ROUND(U168*(1+N(Debts!$D$10)/12),2)</f>
        <v>0</v>
      </c>
      <c r="AF169" s="56" t="n">
        <f aca="false">ROUND(V168*(1+N(Debts!$D$11)/12),2)</f>
        <v>0</v>
      </c>
      <c r="AG169" s="56" t="n">
        <f aca="false">ROUND(W168*(1+N(Debts!$D$12)/12),2)</f>
        <v>0</v>
      </c>
      <c r="AH169" s="56" t="n">
        <f aca="false">ROUND(X168*(1+N(Debts!$D$13)/12),2)</f>
        <v>0</v>
      </c>
      <c r="AI169" s="56" t="n">
        <f aca="false">ROUND(Y168*(1+N(Debts!$D$14)/12),2)</f>
        <v>0</v>
      </c>
      <c r="AJ169" s="56" t="n">
        <f aca="false">MIN(Z169,MAX(0,N(Debts!$E$5)))</f>
        <v>0</v>
      </c>
      <c r="AK169" s="56" t="n">
        <f aca="false">MIN(AA169,MAX(0,N(Debts!$E$6)))</f>
        <v>0</v>
      </c>
      <c r="AL169" s="56" t="n">
        <f aca="false">MIN(AB169,MAX(0,N(Debts!$E$7)))</f>
        <v>0</v>
      </c>
      <c r="AM169" s="56" t="n">
        <f aca="false">MIN(AC169,MAX(0,N(Debts!$E$8)))</f>
        <v>0</v>
      </c>
      <c r="AN169" s="56" t="n">
        <f aca="false">MIN(AD169,MAX(0,N(Debts!$E$9)))</f>
        <v>0</v>
      </c>
      <c r="AO169" s="56" t="n">
        <f aca="false">MIN(AE169,MAX(0,N(Debts!$E$10)))</f>
        <v>0</v>
      </c>
      <c r="AP169" s="56" t="n">
        <f aca="false">MIN(AF169,MAX(0,N(Debts!$E$11)))</f>
        <v>0</v>
      </c>
      <c r="AQ169" s="56" t="n">
        <f aca="false">MIN(AG169,MAX(0,N(Debts!$E$12)))</f>
        <v>0</v>
      </c>
      <c r="AR169" s="56" t="n">
        <f aca="false">MIN(AH169,MAX(0,N(Debts!$E$13)))</f>
        <v>0</v>
      </c>
      <c r="AS169" s="56" t="n">
        <f aca="false">MIN(AI169,MAX(0,N(Debts!$E$14)))</f>
        <v>0</v>
      </c>
    </row>
    <row r="170" customFormat="false" ht="15" hidden="false" customHeight="false" outlineLevel="0" collapsed="false">
      <c r="A170" s="53" t="n">
        <v>166</v>
      </c>
      <c r="B170" s="54" t="n">
        <f aca="false">EDATE('Start Here'!$B$8,165)</f>
        <v>51349</v>
      </c>
      <c r="C170" s="42" t="n">
        <f aca="false">SUM(F170:O170)</f>
        <v>0</v>
      </c>
      <c r="D170" s="42" t="n">
        <f aca="false">ROUND(SUM($Z170:$AI170)-SUM(P169:Y169),2)</f>
        <v>0</v>
      </c>
      <c r="E170" s="55" t="n">
        <f aca="false">SUM(P170:Y170)</f>
        <v>0</v>
      </c>
      <c r="F170" s="42" t="n">
        <f aca="false">AJ170+MIN(Z170-AJ170,MAX(0,'Start Here'!$B$10-SUM($AJ170:$AS170)-SUMPRODUCT(($Z$3:$AI$3&lt;Z$3)*($Z170:$AI170-$AJ170:$AS170))))</f>
        <v>0</v>
      </c>
      <c r="G170" s="42" t="n">
        <f aca="false">AK170+MIN(AA170-AK170,MAX(0,'Start Here'!$B$10-SUM($AJ170:$AS170)-SUMPRODUCT(($Z$3:$AI$3&lt;AA$3)*($Z170:$AI170-$AJ170:$AS170))))</f>
        <v>0</v>
      </c>
      <c r="H170" s="42" t="n">
        <f aca="false">AL170+MIN(AB170-AL170,MAX(0,'Start Here'!$B$10-SUM($AJ170:$AS170)-SUMPRODUCT(($Z$3:$AI$3&lt;AB$3)*($Z170:$AI170-$AJ170:$AS170))))</f>
        <v>0</v>
      </c>
      <c r="I170" s="42" t="n">
        <f aca="false">AM170+MIN(AC170-AM170,MAX(0,'Start Here'!$B$10-SUM($AJ170:$AS170)-SUMPRODUCT(($Z$3:$AI$3&lt;AC$3)*($Z170:$AI170-$AJ170:$AS170))))</f>
        <v>0</v>
      </c>
      <c r="J170" s="42" t="n">
        <f aca="false">AN170+MIN(AD170-AN170,MAX(0,'Start Here'!$B$10-SUM($AJ170:$AS170)-SUMPRODUCT(($Z$3:$AI$3&lt;AD$3)*($Z170:$AI170-$AJ170:$AS170))))</f>
        <v>0</v>
      </c>
      <c r="K170" s="42" t="n">
        <f aca="false">AO170+MIN(AE170-AO170,MAX(0,'Start Here'!$B$10-SUM($AJ170:$AS170)-SUMPRODUCT(($Z$3:$AI$3&lt;AE$3)*($Z170:$AI170-$AJ170:$AS170))))</f>
        <v>0</v>
      </c>
      <c r="L170" s="42" t="n">
        <f aca="false">AP170+MIN(AF170-AP170,MAX(0,'Start Here'!$B$10-SUM($AJ170:$AS170)-SUMPRODUCT(($Z$3:$AI$3&lt;AF$3)*($Z170:$AI170-$AJ170:$AS170))))</f>
        <v>0</v>
      </c>
      <c r="M170" s="42" t="n">
        <f aca="false">AQ170+MIN(AG170-AQ170,MAX(0,'Start Here'!$B$10-SUM($AJ170:$AS170)-SUMPRODUCT(($Z$3:$AI$3&lt;AG$3)*($Z170:$AI170-$AJ170:$AS170))))</f>
        <v>0</v>
      </c>
      <c r="N170" s="42" t="n">
        <f aca="false">AR170+MIN(AH170-AR170,MAX(0,'Start Here'!$B$10-SUM($AJ170:$AS170)-SUMPRODUCT(($Z$3:$AI$3&lt;AH$3)*($Z170:$AI170-$AJ170:$AS170))))</f>
        <v>0</v>
      </c>
      <c r="O170" s="42" t="n">
        <f aca="false">AS170+MIN(AI170-AS170,MAX(0,'Start Here'!$B$10-SUM($AJ170:$AS170)-SUMPRODUCT(($Z$3:$AI$3&lt;AI$3)*($Z170:$AI170-$AJ170:$AS170))))</f>
        <v>0</v>
      </c>
      <c r="P170" s="42" t="n">
        <f aca="false">ROUND(Z170-F170,2)</f>
        <v>0</v>
      </c>
      <c r="Q170" s="42" t="n">
        <f aca="false">ROUND(AA170-G170,2)</f>
        <v>0</v>
      </c>
      <c r="R170" s="42" t="n">
        <f aca="false">ROUND(AB170-H170,2)</f>
        <v>0</v>
      </c>
      <c r="S170" s="42" t="n">
        <f aca="false">ROUND(AC170-I170,2)</f>
        <v>0</v>
      </c>
      <c r="T170" s="42" t="n">
        <f aca="false">ROUND(AD170-J170,2)</f>
        <v>0</v>
      </c>
      <c r="U170" s="42" t="n">
        <f aca="false">ROUND(AE170-K170,2)</f>
        <v>0</v>
      </c>
      <c r="V170" s="42" t="n">
        <f aca="false">ROUND(AF170-L170,2)</f>
        <v>0</v>
      </c>
      <c r="W170" s="42" t="n">
        <f aca="false">ROUND(AG170-M170,2)</f>
        <v>0</v>
      </c>
      <c r="X170" s="42" t="n">
        <f aca="false">ROUND(AH170-N170,2)</f>
        <v>0</v>
      </c>
      <c r="Y170" s="42" t="n">
        <f aca="false">ROUND(AI170-O170,2)</f>
        <v>0</v>
      </c>
      <c r="Z170" s="56" t="n">
        <f aca="false">ROUND(P169*(1+N(Debts!$D$5)/12),2)</f>
        <v>0</v>
      </c>
      <c r="AA170" s="56" t="n">
        <f aca="false">ROUND(Q169*(1+N(Debts!$D$6)/12),2)</f>
        <v>0</v>
      </c>
      <c r="AB170" s="56" t="n">
        <f aca="false">ROUND(R169*(1+N(Debts!$D$7)/12),2)</f>
        <v>0</v>
      </c>
      <c r="AC170" s="56" t="n">
        <f aca="false">ROUND(S169*(1+N(Debts!$D$8)/12),2)</f>
        <v>0</v>
      </c>
      <c r="AD170" s="56" t="n">
        <f aca="false">ROUND(T169*(1+N(Debts!$D$9)/12),2)</f>
        <v>0</v>
      </c>
      <c r="AE170" s="56" t="n">
        <f aca="false">ROUND(U169*(1+N(Debts!$D$10)/12),2)</f>
        <v>0</v>
      </c>
      <c r="AF170" s="56" t="n">
        <f aca="false">ROUND(V169*(1+N(Debts!$D$11)/12),2)</f>
        <v>0</v>
      </c>
      <c r="AG170" s="56" t="n">
        <f aca="false">ROUND(W169*(1+N(Debts!$D$12)/12),2)</f>
        <v>0</v>
      </c>
      <c r="AH170" s="56" t="n">
        <f aca="false">ROUND(X169*(1+N(Debts!$D$13)/12),2)</f>
        <v>0</v>
      </c>
      <c r="AI170" s="56" t="n">
        <f aca="false">ROUND(Y169*(1+N(Debts!$D$14)/12),2)</f>
        <v>0</v>
      </c>
      <c r="AJ170" s="56" t="n">
        <f aca="false">MIN(Z170,MAX(0,N(Debts!$E$5)))</f>
        <v>0</v>
      </c>
      <c r="AK170" s="56" t="n">
        <f aca="false">MIN(AA170,MAX(0,N(Debts!$E$6)))</f>
        <v>0</v>
      </c>
      <c r="AL170" s="56" t="n">
        <f aca="false">MIN(AB170,MAX(0,N(Debts!$E$7)))</f>
        <v>0</v>
      </c>
      <c r="AM170" s="56" t="n">
        <f aca="false">MIN(AC170,MAX(0,N(Debts!$E$8)))</f>
        <v>0</v>
      </c>
      <c r="AN170" s="56" t="n">
        <f aca="false">MIN(AD170,MAX(0,N(Debts!$E$9)))</f>
        <v>0</v>
      </c>
      <c r="AO170" s="56" t="n">
        <f aca="false">MIN(AE170,MAX(0,N(Debts!$E$10)))</f>
        <v>0</v>
      </c>
      <c r="AP170" s="56" t="n">
        <f aca="false">MIN(AF170,MAX(0,N(Debts!$E$11)))</f>
        <v>0</v>
      </c>
      <c r="AQ170" s="56" t="n">
        <f aca="false">MIN(AG170,MAX(0,N(Debts!$E$12)))</f>
        <v>0</v>
      </c>
      <c r="AR170" s="56" t="n">
        <f aca="false">MIN(AH170,MAX(0,N(Debts!$E$13)))</f>
        <v>0</v>
      </c>
      <c r="AS170" s="56" t="n">
        <f aca="false">MIN(AI170,MAX(0,N(Debts!$E$14)))</f>
        <v>0</v>
      </c>
    </row>
    <row r="171" customFormat="false" ht="15" hidden="false" customHeight="false" outlineLevel="0" collapsed="false">
      <c r="A171" s="53" t="n">
        <v>167</v>
      </c>
      <c r="B171" s="54" t="n">
        <f aca="false">EDATE('Start Here'!$B$8,166)</f>
        <v>51380</v>
      </c>
      <c r="C171" s="42" t="n">
        <f aca="false">SUM(F171:O171)</f>
        <v>0</v>
      </c>
      <c r="D171" s="42" t="n">
        <f aca="false">ROUND(SUM($Z171:$AI171)-SUM(P170:Y170),2)</f>
        <v>0</v>
      </c>
      <c r="E171" s="55" t="n">
        <f aca="false">SUM(P171:Y171)</f>
        <v>0</v>
      </c>
      <c r="F171" s="42" t="n">
        <f aca="false">AJ171+MIN(Z171-AJ171,MAX(0,'Start Here'!$B$10-SUM($AJ171:$AS171)-SUMPRODUCT(($Z$3:$AI$3&lt;Z$3)*($Z171:$AI171-$AJ171:$AS171))))</f>
        <v>0</v>
      </c>
      <c r="G171" s="42" t="n">
        <f aca="false">AK171+MIN(AA171-AK171,MAX(0,'Start Here'!$B$10-SUM($AJ171:$AS171)-SUMPRODUCT(($Z$3:$AI$3&lt;AA$3)*($Z171:$AI171-$AJ171:$AS171))))</f>
        <v>0</v>
      </c>
      <c r="H171" s="42" t="n">
        <f aca="false">AL171+MIN(AB171-AL171,MAX(0,'Start Here'!$B$10-SUM($AJ171:$AS171)-SUMPRODUCT(($Z$3:$AI$3&lt;AB$3)*($Z171:$AI171-$AJ171:$AS171))))</f>
        <v>0</v>
      </c>
      <c r="I171" s="42" t="n">
        <f aca="false">AM171+MIN(AC171-AM171,MAX(0,'Start Here'!$B$10-SUM($AJ171:$AS171)-SUMPRODUCT(($Z$3:$AI$3&lt;AC$3)*($Z171:$AI171-$AJ171:$AS171))))</f>
        <v>0</v>
      </c>
      <c r="J171" s="42" t="n">
        <f aca="false">AN171+MIN(AD171-AN171,MAX(0,'Start Here'!$B$10-SUM($AJ171:$AS171)-SUMPRODUCT(($Z$3:$AI$3&lt;AD$3)*($Z171:$AI171-$AJ171:$AS171))))</f>
        <v>0</v>
      </c>
      <c r="K171" s="42" t="n">
        <f aca="false">AO171+MIN(AE171-AO171,MAX(0,'Start Here'!$B$10-SUM($AJ171:$AS171)-SUMPRODUCT(($Z$3:$AI$3&lt;AE$3)*($Z171:$AI171-$AJ171:$AS171))))</f>
        <v>0</v>
      </c>
      <c r="L171" s="42" t="n">
        <f aca="false">AP171+MIN(AF171-AP171,MAX(0,'Start Here'!$B$10-SUM($AJ171:$AS171)-SUMPRODUCT(($Z$3:$AI$3&lt;AF$3)*($Z171:$AI171-$AJ171:$AS171))))</f>
        <v>0</v>
      </c>
      <c r="M171" s="42" t="n">
        <f aca="false">AQ171+MIN(AG171-AQ171,MAX(0,'Start Here'!$B$10-SUM($AJ171:$AS171)-SUMPRODUCT(($Z$3:$AI$3&lt;AG$3)*($Z171:$AI171-$AJ171:$AS171))))</f>
        <v>0</v>
      </c>
      <c r="N171" s="42" t="n">
        <f aca="false">AR171+MIN(AH171-AR171,MAX(0,'Start Here'!$B$10-SUM($AJ171:$AS171)-SUMPRODUCT(($Z$3:$AI$3&lt;AH$3)*($Z171:$AI171-$AJ171:$AS171))))</f>
        <v>0</v>
      </c>
      <c r="O171" s="42" t="n">
        <f aca="false">AS171+MIN(AI171-AS171,MAX(0,'Start Here'!$B$10-SUM($AJ171:$AS171)-SUMPRODUCT(($Z$3:$AI$3&lt;AI$3)*($Z171:$AI171-$AJ171:$AS171))))</f>
        <v>0</v>
      </c>
      <c r="P171" s="42" t="n">
        <f aca="false">ROUND(Z171-F171,2)</f>
        <v>0</v>
      </c>
      <c r="Q171" s="42" t="n">
        <f aca="false">ROUND(AA171-G171,2)</f>
        <v>0</v>
      </c>
      <c r="R171" s="42" t="n">
        <f aca="false">ROUND(AB171-H171,2)</f>
        <v>0</v>
      </c>
      <c r="S171" s="42" t="n">
        <f aca="false">ROUND(AC171-I171,2)</f>
        <v>0</v>
      </c>
      <c r="T171" s="42" t="n">
        <f aca="false">ROUND(AD171-J171,2)</f>
        <v>0</v>
      </c>
      <c r="U171" s="42" t="n">
        <f aca="false">ROUND(AE171-K171,2)</f>
        <v>0</v>
      </c>
      <c r="V171" s="42" t="n">
        <f aca="false">ROUND(AF171-L171,2)</f>
        <v>0</v>
      </c>
      <c r="W171" s="42" t="n">
        <f aca="false">ROUND(AG171-M171,2)</f>
        <v>0</v>
      </c>
      <c r="X171" s="42" t="n">
        <f aca="false">ROUND(AH171-N171,2)</f>
        <v>0</v>
      </c>
      <c r="Y171" s="42" t="n">
        <f aca="false">ROUND(AI171-O171,2)</f>
        <v>0</v>
      </c>
      <c r="Z171" s="56" t="n">
        <f aca="false">ROUND(P170*(1+N(Debts!$D$5)/12),2)</f>
        <v>0</v>
      </c>
      <c r="AA171" s="56" t="n">
        <f aca="false">ROUND(Q170*(1+N(Debts!$D$6)/12),2)</f>
        <v>0</v>
      </c>
      <c r="AB171" s="56" t="n">
        <f aca="false">ROUND(R170*(1+N(Debts!$D$7)/12),2)</f>
        <v>0</v>
      </c>
      <c r="AC171" s="56" t="n">
        <f aca="false">ROUND(S170*(1+N(Debts!$D$8)/12),2)</f>
        <v>0</v>
      </c>
      <c r="AD171" s="56" t="n">
        <f aca="false">ROUND(T170*(1+N(Debts!$D$9)/12),2)</f>
        <v>0</v>
      </c>
      <c r="AE171" s="56" t="n">
        <f aca="false">ROUND(U170*(1+N(Debts!$D$10)/12),2)</f>
        <v>0</v>
      </c>
      <c r="AF171" s="56" t="n">
        <f aca="false">ROUND(V170*(1+N(Debts!$D$11)/12),2)</f>
        <v>0</v>
      </c>
      <c r="AG171" s="56" t="n">
        <f aca="false">ROUND(W170*(1+N(Debts!$D$12)/12),2)</f>
        <v>0</v>
      </c>
      <c r="AH171" s="56" t="n">
        <f aca="false">ROUND(X170*(1+N(Debts!$D$13)/12),2)</f>
        <v>0</v>
      </c>
      <c r="AI171" s="56" t="n">
        <f aca="false">ROUND(Y170*(1+N(Debts!$D$14)/12),2)</f>
        <v>0</v>
      </c>
      <c r="AJ171" s="56" t="n">
        <f aca="false">MIN(Z171,MAX(0,N(Debts!$E$5)))</f>
        <v>0</v>
      </c>
      <c r="AK171" s="56" t="n">
        <f aca="false">MIN(AA171,MAX(0,N(Debts!$E$6)))</f>
        <v>0</v>
      </c>
      <c r="AL171" s="56" t="n">
        <f aca="false">MIN(AB171,MAX(0,N(Debts!$E$7)))</f>
        <v>0</v>
      </c>
      <c r="AM171" s="56" t="n">
        <f aca="false">MIN(AC171,MAX(0,N(Debts!$E$8)))</f>
        <v>0</v>
      </c>
      <c r="AN171" s="56" t="n">
        <f aca="false">MIN(AD171,MAX(0,N(Debts!$E$9)))</f>
        <v>0</v>
      </c>
      <c r="AO171" s="56" t="n">
        <f aca="false">MIN(AE171,MAX(0,N(Debts!$E$10)))</f>
        <v>0</v>
      </c>
      <c r="AP171" s="56" t="n">
        <f aca="false">MIN(AF171,MAX(0,N(Debts!$E$11)))</f>
        <v>0</v>
      </c>
      <c r="AQ171" s="56" t="n">
        <f aca="false">MIN(AG171,MAX(0,N(Debts!$E$12)))</f>
        <v>0</v>
      </c>
      <c r="AR171" s="56" t="n">
        <f aca="false">MIN(AH171,MAX(0,N(Debts!$E$13)))</f>
        <v>0</v>
      </c>
      <c r="AS171" s="56" t="n">
        <f aca="false">MIN(AI171,MAX(0,N(Debts!$E$14)))</f>
        <v>0</v>
      </c>
    </row>
    <row r="172" customFormat="false" ht="15" hidden="false" customHeight="false" outlineLevel="0" collapsed="false">
      <c r="A172" s="53" t="n">
        <v>168</v>
      </c>
      <c r="B172" s="54" t="n">
        <f aca="false">EDATE('Start Here'!$B$8,167)</f>
        <v>51410</v>
      </c>
      <c r="C172" s="42" t="n">
        <f aca="false">SUM(F172:O172)</f>
        <v>0</v>
      </c>
      <c r="D172" s="42" t="n">
        <f aca="false">ROUND(SUM($Z172:$AI172)-SUM(P171:Y171),2)</f>
        <v>0</v>
      </c>
      <c r="E172" s="55" t="n">
        <f aca="false">SUM(P172:Y172)</f>
        <v>0</v>
      </c>
      <c r="F172" s="42" t="n">
        <f aca="false">AJ172+MIN(Z172-AJ172,MAX(0,'Start Here'!$B$10-SUM($AJ172:$AS172)-SUMPRODUCT(($Z$3:$AI$3&lt;Z$3)*($Z172:$AI172-$AJ172:$AS172))))</f>
        <v>0</v>
      </c>
      <c r="G172" s="42" t="n">
        <f aca="false">AK172+MIN(AA172-AK172,MAX(0,'Start Here'!$B$10-SUM($AJ172:$AS172)-SUMPRODUCT(($Z$3:$AI$3&lt;AA$3)*($Z172:$AI172-$AJ172:$AS172))))</f>
        <v>0</v>
      </c>
      <c r="H172" s="42" t="n">
        <f aca="false">AL172+MIN(AB172-AL172,MAX(0,'Start Here'!$B$10-SUM($AJ172:$AS172)-SUMPRODUCT(($Z$3:$AI$3&lt;AB$3)*($Z172:$AI172-$AJ172:$AS172))))</f>
        <v>0</v>
      </c>
      <c r="I172" s="42" t="n">
        <f aca="false">AM172+MIN(AC172-AM172,MAX(0,'Start Here'!$B$10-SUM($AJ172:$AS172)-SUMPRODUCT(($Z$3:$AI$3&lt;AC$3)*($Z172:$AI172-$AJ172:$AS172))))</f>
        <v>0</v>
      </c>
      <c r="J172" s="42" t="n">
        <f aca="false">AN172+MIN(AD172-AN172,MAX(0,'Start Here'!$B$10-SUM($AJ172:$AS172)-SUMPRODUCT(($Z$3:$AI$3&lt;AD$3)*($Z172:$AI172-$AJ172:$AS172))))</f>
        <v>0</v>
      </c>
      <c r="K172" s="42" t="n">
        <f aca="false">AO172+MIN(AE172-AO172,MAX(0,'Start Here'!$B$10-SUM($AJ172:$AS172)-SUMPRODUCT(($Z$3:$AI$3&lt;AE$3)*($Z172:$AI172-$AJ172:$AS172))))</f>
        <v>0</v>
      </c>
      <c r="L172" s="42" t="n">
        <f aca="false">AP172+MIN(AF172-AP172,MAX(0,'Start Here'!$B$10-SUM($AJ172:$AS172)-SUMPRODUCT(($Z$3:$AI$3&lt;AF$3)*($Z172:$AI172-$AJ172:$AS172))))</f>
        <v>0</v>
      </c>
      <c r="M172" s="42" t="n">
        <f aca="false">AQ172+MIN(AG172-AQ172,MAX(0,'Start Here'!$B$10-SUM($AJ172:$AS172)-SUMPRODUCT(($Z$3:$AI$3&lt;AG$3)*($Z172:$AI172-$AJ172:$AS172))))</f>
        <v>0</v>
      </c>
      <c r="N172" s="42" t="n">
        <f aca="false">AR172+MIN(AH172-AR172,MAX(0,'Start Here'!$B$10-SUM($AJ172:$AS172)-SUMPRODUCT(($Z$3:$AI$3&lt;AH$3)*($Z172:$AI172-$AJ172:$AS172))))</f>
        <v>0</v>
      </c>
      <c r="O172" s="42" t="n">
        <f aca="false">AS172+MIN(AI172-AS172,MAX(0,'Start Here'!$B$10-SUM($AJ172:$AS172)-SUMPRODUCT(($Z$3:$AI$3&lt;AI$3)*($Z172:$AI172-$AJ172:$AS172))))</f>
        <v>0</v>
      </c>
      <c r="P172" s="42" t="n">
        <f aca="false">ROUND(Z172-F172,2)</f>
        <v>0</v>
      </c>
      <c r="Q172" s="42" t="n">
        <f aca="false">ROUND(AA172-G172,2)</f>
        <v>0</v>
      </c>
      <c r="R172" s="42" t="n">
        <f aca="false">ROUND(AB172-H172,2)</f>
        <v>0</v>
      </c>
      <c r="S172" s="42" t="n">
        <f aca="false">ROUND(AC172-I172,2)</f>
        <v>0</v>
      </c>
      <c r="T172" s="42" t="n">
        <f aca="false">ROUND(AD172-J172,2)</f>
        <v>0</v>
      </c>
      <c r="U172" s="42" t="n">
        <f aca="false">ROUND(AE172-K172,2)</f>
        <v>0</v>
      </c>
      <c r="V172" s="42" t="n">
        <f aca="false">ROUND(AF172-L172,2)</f>
        <v>0</v>
      </c>
      <c r="W172" s="42" t="n">
        <f aca="false">ROUND(AG172-M172,2)</f>
        <v>0</v>
      </c>
      <c r="X172" s="42" t="n">
        <f aca="false">ROUND(AH172-N172,2)</f>
        <v>0</v>
      </c>
      <c r="Y172" s="42" t="n">
        <f aca="false">ROUND(AI172-O172,2)</f>
        <v>0</v>
      </c>
      <c r="Z172" s="56" t="n">
        <f aca="false">ROUND(P171*(1+N(Debts!$D$5)/12),2)</f>
        <v>0</v>
      </c>
      <c r="AA172" s="56" t="n">
        <f aca="false">ROUND(Q171*(1+N(Debts!$D$6)/12),2)</f>
        <v>0</v>
      </c>
      <c r="AB172" s="56" t="n">
        <f aca="false">ROUND(R171*(1+N(Debts!$D$7)/12),2)</f>
        <v>0</v>
      </c>
      <c r="AC172" s="56" t="n">
        <f aca="false">ROUND(S171*(1+N(Debts!$D$8)/12),2)</f>
        <v>0</v>
      </c>
      <c r="AD172" s="56" t="n">
        <f aca="false">ROUND(T171*(1+N(Debts!$D$9)/12),2)</f>
        <v>0</v>
      </c>
      <c r="AE172" s="56" t="n">
        <f aca="false">ROUND(U171*(1+N(Debts!$D$10)/12),2)</f>
        <v>0</v>
      </c>
      <c r="AF172" s="56" t="n">
        <f aca="false">ROUND(V171*(1+N(Debts!$D$11)/12),2)</f>
        <v>0</v>
      </c>
      <c r="AG172" s="56" t="n">
        <f aca="false">ROUND(W171*(1+N(Debts!$D$12)/12),2)</f>
        <v>0</v>
      </c>
      <c r="AH172" s="56" t="n">
        <f aca="false">ROUND(X171*(1+N(Debts!$D$13)/12),2)</f>
        <v>0</v>
      </c>
      <c r="AI172" s="56" t="n">
        <f aca="false">ROUND(Y171*(1+N(Debts!$D$14)/12),2)</f>
        <v>0</v>
      </c>
      <c r="AJ172" s="56" t="n">
        <f aca="false">MIN(Z172,MAX(0,N(Debts!$E$5)))</f>
        <v>0</v>
      </c>
      <c r="AK172" s="56" t="n">
        <f aca="false">MIN(AA172,MAX(0,N(Debts!$E$6)))</f>
        <v>0</v>
      </c>
      <c r="AL172" s="56" t="n">
        <f aca="false">MIN(AB172,MAX(0,N(Debts!$E$7)))</f>
        <v>0</v>
      </c>
      <c r="AM172" s="56" t="n">
        <f aca="false">MIN(AC172,MAX(0,N(Debts!$E$8)))</f>
        <v>0</v>
      </c>
      <c r="AN172" s="56" t="n">
        <f aca="false">MIN(AD172,MAX(0,N(Debts!$E$9)))</f>
        <v>0</v>
      </c>
      <c r="AO172" s="56" t="n">
        <f aca="false">MIN(AE172,MAX(0,N(Debts!$E$10)))</f>
        <v>0</v>
      </c>
      <c r="AP172" s="56" t="n">
        <f aca="false">MIN(AF172,MAX(0,N(Debts!$E$11)))</f>
        <v>0</v>
      </c>
      <c r="AQ172" s="56" t="n">
        <f aca="false">MIN(AG172,MAX(0,N(Debts!$E$12)))</f>
        <v>0</v>
      </c>
      <c r="AR172" s="56" t="n">
        <f aca="false">MIN(AH172,MAX(0,N(Debts!$E$13)))</f>
        <v>0</v>
      </c>
      <c r="AS172" s="56" t="n">
        <f aca="false">MIN(AI172,MAX(0,N(Debts!$E$14)))</f>
        <v>0</v>
      </c>
    </row>
    <row r="173" customFormat="false" ht="15" hidden="false" customHeight="false" outlineLevel="0" collapsed="false">
      <c r="A173" s="53" t="n">
        <v>169</v>
      </c>
      <c r="B173" s="54" t="n">
        <f aca="false">EDATE('Start Here'!$B$8,168)</f>
        <v>51441</v>
      </c>
      <c r="C173" s="42" t="n">
        <f aca="false">SUM(F173:O173)</f>
        <v>0</v>
      </c>
      <c r="D173" s="42" t="n">
        <f aca="false">ROUND(SUM($Z173:$AI173)-SUM(P172:Y172),2)</f>
        <v>0</v>
      </c>
      <c r="E173" s="55" t="n">
        <f aca="false">SUM(P173:Y173)</f>
        <v>0</v>
      </c>
      <c r="F173" s="42" t="n">
        <f aca="false">AJ173+MIN(Z173-AJ173,MAX(0,'Start Here'!$B$10-SUM($AJ173:$AS173)-SUMPRODUCT(($Z$3:$AI$3&lt;Z$3)*($Z173:$AI173-$AJ173:$AS173))))</f>
        <v>0</v>
      </c>
      <c r="G173" s="42" t="n">
        <f aca="false">AK173+MIN(AA173-AK173,MAX(0,'Start Here'!$B$10-SUM($AJ173:$AS173)-SUMPRODUCT(($Z$3:$AI$3&lt;AA$3)*($Z173:$AI173-$AJ173:$AS173))))</f>
        <v>0</v>
      </c>
      <c r="H173" s="42" t="n">
        <f aca="false">AL173+MIN(AB173-AL173,MAX(0,'Start Here'!$B$10-SUM($AJ173:$AS173)-SUMPRODUCT(($Z$3:$AI$3&lt;AB$3)*($Z173:$AI173-$AJ173:$AS173))))</f>
        <v>0</v>
      </c>
      <c r="I173" s="42" t="n">
        <f aca="false">AM173+MIN(AC173-AM173,MAX(0,'Start Here'!$B$10-SUM($AJ173:$AS173)-SUMPRODUCT(($Z$3:$AI$3&lt;AC$3)*($Z173:$AI173-$AJ173:$AS173))))</f>
        <v>0</v>
      </c>
      <c r="J173" s="42" t="n">
        <f aca="false">AN173+MIN(AD173-AN173,MAX(0,'Start Here'!$B$10-SUM($AJ173:$AS173)-SUMPRODUCT(($Z$3:$AI$3&lt;AD$3)*($Z173:$AI173-$AJ173:$AS173))))</f>
        <v>0</v>
      </c>
      <c r="K173" s="42" t="n">
        <f aca="false">AO173+MIN(AE173-AO173,MAX(0,'Start Here'!$B$10-SUM($AJ173:$AS173)-SUMPRODUCT(($Z$3:$AI$3&lt;AE$3)*($Z173:$AI173-$AJ173:$AS173))))</f>
        <v>0</v>
      </c>
      <c r="L173" s="42" t="n">
        <f aca="false">AP173+MIN(AF173-AP173,MAX(0,'Start Here'!$B$10-SUM($AJ173:$AS173)-SUMPRODUCT(($Z$3:$AI$3&lt;AF$3)*($Z173:$AI173-$AJ173:$AS173))))</f>
        <v>0</v>
      </c>
      <c r="M173" s="42" t="n">
        <f aca="false">AQ173+MIN(AG173-AQ173,MAX(0,'Start Here'!$B$10-SUM($AJ173:$AS173)-SUMPRODUCT(($Z$3:$AI$3&lt;AG$3)*($Z173:$AI173-$AJ173:$AS173))))</f>
        <v>0</v>
      </c>
      <c r="N173" s="42" t="n">
        <f aca="false">AR173+MIN(AH173-AR173,MAX(0,'Start Here'!$B$10-SUM($AJ173:$AS173)-SUMPRODUCT(($Z$3:$AI$3&lt;AH$3)*($Z173:$AI173-$AJ173:$AS173))))</f>
        <v>0</v>
      </c>
      <c r="O173" s="42" t="n">
        <f aca="false">AS173+MIN(AI173-AS173,MAX(0,'Start Here'!$B$10-SUM($AJ173:$AS173)-SUMPRODUCT(($Z$3:$AI$3&lt;AI$3)*($Z173:$AI173-$AJ173:$AS173))))</f>
        <v>0</v>
      </c>
      <c r="P173" s="42" t="n">
        <f aca="false">ROUND(Z173-F173,2)</f>
        <v>0</v>
      </c>
      <c r="Q173" s="42" t="n">
        <f aca="false">ROUND(AA173-G173,2)</f>
        <v>0</v>
      </c>
      <c r="R173" s="42" t="n">
        <f aca="false">ROUND(AB173-H173,2)</f>
        <v>0</v>
      </c>
      <c r="S173" s="42" t="n">
        <f aca="false">ROUND(AC173-I173,2)</f>
        <v>0</v>
      </c>
      <c r="T173" s="42" t="n">
        <f aca="false">ROUND(AD173-J173,2)</f>
        <v>0</v>
      </c>
      <c r="U173" s="42" t="n">
        <f aca="false">ROUND(AE173-K173,2)</f>
        <v>0</v>
      </c>
      <c r="V173" s="42" t="n">
        <f aca="false">ROUND(AF173-L173,2)</f>
        <v>0</v>
      </c>
      <c r="W173" s="42" t="n">
        <f aca="false">ROUND(AG173-M173,2)</f>
        <v>0</v>
      </c>
      <c r="X173" s="42" t="n">
        <f aca="false">ROUND(AH173-N173,2)</f>
        <v>0</v>
      </c>
      <c r="Y173" s="42" t="n">
        <f aca="false">ROUND(AI173-O173,2)</f>
        <v>0</v>
      </c>
      <c r="Z173" s="56" t="n">
        <f aca="false">ROUND(P172*(1+N(Debts!$D$5)/12),2)</f>
        <v>0</v>
      </c>
      <c r="AA173" s="56" t="n">
        <f aca="false">ROUND(Q172*(1+N(Debts!$D$6)/12),2)</f>
        <v>0</v>
      </c>
      <c r="AB173" s="56" t="n">
        <f aca="false">ROUND(R172*(1+N(Debts!$D$7)/12),2)</f>
        <v>0</v>
      </c>
      <c r="AC173" s="56" t="n">
        <f aca="false">ROUND(S172*(1+N(Debts!$D$8)/12),2)</f>
        <v>0</v>
      </c>
      <c r="AD173" s="56" t="n">
        <f aca="false">ROUND(T172*(1+N(Debts!$D$9)/12),2)</f>
        <v>0</v>
      </c>
      <c r="AE173" s="56" t="n">
        <f aca="false">ROUND(U172*(1+N(Debts!$D$10)/12),2)</f>
        <v>0</v>
      </c>
      <c r="AF173" s="56" t="n">
        <f aca="false">ROUND(V172*(1+N(Debts!$D$11)/12),2)</f>
        <v>0</v>
      </c>
      <c r="AG173" s="56" t="n">
        <f aca="false">ROUND(W172*(1+N(Debts!$D$12)/12),2)</f>
        <v>0</v>
      </c>
      <c r="AH173" s="56" t="n">
        <f aca="false">ROUND(X172*(1+N(Debts!$D$13)/12),2)</f>
        <v>0</v>
      </c>
      <c r="AI173" s="56" t="n">
        <f aca="false">ROUND(Y172*(1+N(Debts!$D$14)/12),2)</f>
        <v>0</v>
      </c>
      <c r="AJ173" s="56" t="n">
        <f aca="false">MIN(Z173,MAX(0,N(Debts!$E$5)))</f>
        <v>0</v>
      </c>
      <c r="AK173" s="56" t="n">
        <f aca="false">MIN(AA173,MAX(0,N(Debts!$E$6)))</f>
        <v>0</v>
      </c>
      <c r="AL173" s="56" t="n">
        <f aca="false">MIN(AB173,MAX(0,N(Debts!$E$7)))</f>
        <v>0</v>
      </c>
      <c r="AM173" s="56" t="n">
        <f aca="false">MIN(AC173,MAX(0,N(Debts!$E$8)))</f>
        <v>0</v>
      </c>
      <c r="AN173" s="56" t="n">
        <f aca="false">MIN(AD173,MAX(0,N(Debts!$E$9)))</f>
        <v>0</v>
      </c>
      <c r="AO173" s="56" t="n">
        <f aca="false">MIN(AE173,MAX(0,N(Debts!$E$10)))</f>
        <v>0</v>
      </c>
      <c r="AP173" s="56" t="n">
        <f aca="false">MIN(AF173,MAX(0,N(Debts!$E$11)))</f>
        <v>0</v>
      </c>
      <c r="AQ173" s="56" t="n">
        <f aca="false">MIN(AG173,MAX(0,N(Debts!$E$12)))</f>
        <v>0</v>
      </c>
      <c r="AR173" s="56" t="n">
        <f aca="false">MIN(AH173,MAX(0,N(Debts!$E$13)))</f>
        <v>0</v>
      </c>
      <c r="AS173" s="56" t="n">
        <f aca="false">MIN(AI173,MAX(0,N(Debts!$E$14)))</f>
        <v>0</v>
      </c>
    </row>
    <row r="174" customFormat="false" ht="15" hidden="false" customHeight="false" outlineLevel="0" collapsed="false">
      <c r="A174" s="53" t="n">
        <v>170</v>
      </c>
      <c r="B174" s="54" t="n">
        <f aca="false">EDATE('Start Here'!$B$8,169)</f>
        <v>51471</v>
      </c>
      <c r="C174" s="42" t="n">
        <f aca="false">SUM(F174:O174)</f>
        <v>0</v>
      </c>
      <c r="D174" s="42" t="n">
        <f aca="false">ROUND(SUM($Z174:$AI174)-SUM(P173:Y173),2)</f>
        <v>0</v>
      </c>
      <c r="E174" s="55" t="n">
        <f aca="false">SUM(P174:Y174)</f>
        <v>0</v>
      </c>
      <c r="F174" s="42" t="n">
        <f aca="false">AJ174+MIN(Z174-AJ174,MAX(0,'Start Here'!$B$10-SUM($AJ174:$AS174)-SUMPRODUCT(($Z$3:$AI$3&lt;Z$3)*($Z174:$AI174-$AJ174:$AS174))))</f>
        <v>0</v>
      </c>
      <c r="G174" s="42" t="n">
        <f aca="false">AK174+MIN(AA174-AK174,MAX(0,'Start Here'!$B$10-SUM($AJ174:$AS174)-SUMPRODUCT(($Z$3:$AI$3&lt;AA$3)*($Z174:$AI174-$AJ174:$AS174))))</f>
        <v>0</v>
      </c>
      <c r="H174" s="42" t="n">
        <f aca="false">AL174+MIN(AB174-AL174,MAX(0,'Start Here'!$B$10-SUM($AJ174:$AS174)-SUMPRODUCT(($Z$3:$AI$3&lt;AB$3)*($Z174:$AI174-$AJ174:$AS174))))</f>
        <v>0</v>
      </c>
      <c r="I174" s="42" t="n">
        <f aca="false">AM174+MIN(AC174-AM174,MAX(0,'Start Here'!$B$10-SUM($AJ174:$AS174)-SUMPRODUCT(($Z$3:$AI$3&lt;AC$3)*($Z174:$AI174-$AJ174:$AS174))))</f>
        <v>0</v>
      </c>
      <c r="J174" s="42" t="n">
        <f aca="false">AN174+MIN(AD174-AN174,MAX(0,'Start Here'!$B$10-SUM($AJ174:$AS174)-SUMPRODUCT(($Z$3:$AI$3&lt;AD$3)*($Z174:$AI174-$AJ174:$AS174))))</f>
        <v>0</v>
      </c>
      <c r="K174" s="42" t="n">
        <f aca="false">AO174+MIN(AE174-AO174,MAX(0,'Start Here'!$B$10-SUM($AJ174:$AS174)-SUMPRODUCT(($Z$3:$AI$3&lt;AE$3)*($Z174:$AI174-$AJ174:$AS174))))</f>
        <v>0</v>
      </c>
      <c r="L174" s="42" t="n">
        <f aca="false">AP174+MIN(AF174-AP174,MAX(0,'Start Here'!$B$10-SUM($AJ174:$AS174)-SUMPRODUCT(($Z$3:$AI$3&lt;AF$3)*($Z174:$AI174-$AJ174:$AS174))))</f>
        <v>0</v>
      </c>
      <c r="M174" s="42" t="n">
        <f aca="false">AQ174+MIN(AG174-AQ174,MAX(0,'Start Here'!$B$10-SUM($AJ174:$AS174)-SUMPRODUCT(($Z$3:$AI$3&lt;AG$3)*($Z174:$AI174-$AJ174:$AS174))))</f>
        <v>0</v>
      </c>
      <c r="N174" s="42" t="n">
        <f aca="false">AR174+MIN(AH174-AR174,MAX(0,'Start Here'!$B$10-SUM($AJ174:$AS174)-SUMPRODUCT(($Z$3:$AI$3&lt;AH$3)*($Z174:$AI174-$AJ174:$AS174))))</f>
        <v>0</v>
      </c>
      <c r="O174" s="42" t="n">
        <f aca="false">AS174+MIN(AI174-AS174,MAX(0,'Start Here'!$B$10-SUM($AJ174:$AS174)-SUMPRODUCT(($Z$3:$AI$3&lt;AI$3)*($Z174:$AI174-$AJ174:$AS174))))</f>
        <v>0</v>
      </c>
      <c r="P174" s="42" t="n">
        <f aca="false">ROUND(Z174-F174,2)</f>
        <v>0</v>
      </c>
      <c r="Q174" s="42" t="n">
        <f aca="false">ROUND(AA174-G174,2)</f>
        <v>0</v>
      </c>
      <c r="R174" s="42" t="n">
        <f aca="false">ROUND(AB174-H174,2)</f>
        <v>0</v>
      </c>
      <c r="S174" s="42" t="n">
        <f aca="false">ROUND(AC174-I174,2)</f>
        <v>0</v>
      </c>
      <c r="T174" s="42" t="n">
        <f aca="false">ROUND(AD174-J174,2)</f>
        <v>0</v>
      </c>
      <c r="U174" s="42" t="n">
        <f aca="false">ROUND(AE174-K174,2)</f>
        <v>0</v>
      </c>
      <c r="V174" s="42" t="n">
        <f aca="false">ROUND(AF174-L174,2)</f>
        <v>0</v>
      </c>
      <c r="W174" s="42" t="n">
        <f aca="false">ROUND(AG174-M174,2)</f>
        <v>0</v>
      </c>
      <c r="X174" s="42" t="n">
        <f aca="false">ROUND(AH174-N174,2)</f>
        <v>0</v>
      </c>
      <c r="Y174" s="42" t="n">
        <f aca="false">ROUND(AI174-O174,2)</f>
        <v>0</v>
      </c>
      <c r="Z174" s="56" t="n">
        <f aca="false">ROUND(P173*(1+N(Debts!$D$5)/12),2)</f>
        <v>0</v>
      </c>
      <c r="AA174" s="56" t="n">
        <f aca="false">ROUND(Q173*(1+N(Debts!$D$6)/12),2)</f>
        <v>0</v>
      </c>
      <c r="AB174" s="56" t="n">
        <f aca="false">ROUND(R173*(1+N(Debts!$D$7)/12),2)</f>
        <v>0</v>
      </c>
      <c r="AC174" s="56" t="n">
        <f aca="false">ROUND(S173*(1+N(Debts!$D$8)/12),2)</f>
        <v>0</v>
      </c>
      <c r="AD174" s="56" t="n">
        <f aca="false">ROUND(T173*(1+N(Debts!$D$9)/12),2)</f>
        <v>0</v>
      </c>
      <c r="AE174" s="56" t="n">
        <f aca="false">ROUND(U173*(1+N(Debts!$D$10)/12),2)</f>
        <v>0</v>
      </c>
      <c r="AF174" s="56" t="n">
        <f aca="false">ROUND(V173*(1+N(Debts!$D$11)/12),2)</f>
        <v>0</v>
      </c>
      <c r="AG174" s="56" t="n">
        <f aca="false">ROUND(W173*(1+N(Debts!$D$12)/12),2)</f>
        <v>0</v>
      </c>
      <c r="AH174" s="56" t="n">
        <f aca="false">ROUND(X173*(1+N(Debts!$D$13)/12),2)</f>
        <v>0</v>
      </c>
      <c r="AI174" s="56" t="n">
        <f aca="false">ROUND(Y173*(1+N(Debts!$D$14)/12),2)</f>
        <v>0</v>
      </c>
      <c r="AJ174" s="56" t="n">
        <f aca="false">MIN(Z174,MAX(0,N(Debts!$E$5)))</f>
        <v>0</v>
      </c>
      <c r="AK174" s="56" t="n">
        <f aca="false">MIN(AA174,MAX(0,N(Debts!$E$6)))</f>
        <v>0</v>
      </c>
      <c r="AL174" s="56" t="n">
        <f aca="false">MIN(AB174,MAX(0,N(Debts!$E$7)))</f>
        <v>0</v>
      </c>
      <c r="AM174" s="56" t="n">
        <f aca="false">MIN(AC174,MAX(0,N(Debts!$E$8)))</f>
        <v>0</v>
      </c>
      <c r="AN174" s="56" t="n">
        <f aca="false">MIN(AD174,MAX(0,N(Debts!$E$9)))</f>
        <v>0</v>
      </c>
      <c r="AO174" s="56" t="n">
        <f aca="false">MIN(AE174,MAX(0,N(Debts!$E$10)))</f>
        <v>0</v>
      </c>
      <c r="AP174" s="56" t="n">
        <f aca="false">MIN(AF174,MAX(0,N(Debts!$E$11)))</f>
        <v>0</v>
      </c>
      <c r="AQ174" s="56" t="n">
        <f aca="false">MIN(AG174,MAX(0,N(Debts!$E$12)))</f>
        <v>0</v>
      </c>
      <c r="AR174" s="56" t="n">
        <f aca="false">MIN(AH174,MAX(0,N(Debts!$E$13)))</f>
        <v>0</v>
      </c>
      <c r="AS174" s="56" t="n">
        <f aca="false">MIN(AI174,MAX(0,N(Debts!$E$14)))</f>
        <v>0</v>
      </c>
    </row>
    <row r="175" customFormat="false" ht="15" hidden="false" customHeight="false" outlineLevel="0" collapsed="false">
      <c r="A175" s="53" t="n">
        <v>171</v>
      </c>
      <c r="B175" s="54" t="n">
        <f aca="false">EDATE('Start Here'!$B$8,170)</f>
        <v>51502</v>
      </c>
      <c r="C175" s="42" t="n">
        <f aca="false">SUM(F175:O175)</f>
        <v>0</v>
      </c>
      <c r="D175" s="42" t="n">
        <f aca="false">ROUND(SUM($Z175:$AI175)-SUM(P174:Y174),2)</f>
        <v>0</v>
      </c>
      <c r="E175" s="55" t="n">
        <f aca="false">SUM(P175:Y175)</f>
        <v>0</v>
      </c>
      <c r="F175" s="42" t="n">
        <f aca="false">AJ175+MIN(Z175-AJ175,MAX(0,'Start Here'!$B$10-SUM($AJ175:$AS175)-SUMPRODUCT(($Z$3:$AI$3&lt;Z$3)*($Z175:$AI175-$AJ175:$AS175))))</f>
        <v>0</v>
      </c>
      <c r="G175" s="42" t="n">
        <f aca="false">AK175+MIN(AA175-AK175,MAX(0,'Start Here'!$B$10-SUM($AJ175:$AS175)-SUMPRODUCT(($Z$3:$AI$3&lt;AA$3)*($Z175:$AI175-$AJ175:$AS175))))</f>
        <v>0</v>
      </c>
      <c r="H175" s="42" t="n">
        <f aca="false">AL175+MIN(AB175-AL175,MAX(0,'Start Here'!$B$10-SUM($AJ175:$AS175)-SUMPRODUCT(($Z$3:$AI$3&lt;AB$3)*($Z175:$AI175-$AJ175:$AS175))))</f>
        <v>0</v>
      </c>
      <c r="I175" s="42" t="n">
        <f aca="false">AM175+MIN(AC175-AM175,MAX(0,'Start Here'!$B$10-SUM($AJ175:$AS175)-SUMPRODUCT(($Z$3:$AI$3&lt;AC$3)*($Z175:$AI175-$AJ175:$AS175))))</f>
        <v>0</v>
      </c>
      <c r="J175" s="42" t="n">
        <f aca="false">AN175+MIN(AD175-AN175,MAX(0,'Start Here'!$B$10-SUM($AJ175:$AS175)-SUMPRODUCT(($Z$3:$AI$3&lt;AD$3)*($Z175:$AI175-$AJ175:$AS175))))</f>
        <v>0</v>
      </c>
      <c r="K175" s="42" t="n">
        <f aca="false">AO175+MIN(AE175-AO175,MAX(0,'Start Here'!$B$10-SUM($AJ175:$AS175)-SUMPRODUCT(($Z$3:$AI$3&lt;AE$3)*($Z175:$AI175-$AJ175:$AS175))))</f>
        <v>0</v>
      </c>
      <c r="L175" s="42" t="n">
        <f aca="false">AP175+MIN(AF175-AP175,MAX(0,'Start Here'!$B$10-SUM($AJ175:$AS175)-SUMPRODUCT(($Z$3:$AI$3&lt;AF$3)*($Z175:$AI175-$AJ175:$AS175))))</f>
        <v>0</v>
      </c>
      <c r="M175" s="42" t="n">
        <f aca="false">AQ175+MIN(AG175-AQ175,MAX(0,'Start Here'!$B$10-SUM($AJ175:$AS175)-SUMPRODUCT(($Z$3:$AI$3&lt;AG$3)*($Z175:$AI175-$AJ175:$AS175))))</f>
        <v>0</v>
      </c>
      <c r="N175" s="42" t="n">
        <f aca="false">AR175+MIN(AH175-AR175,MAX(0,'Start Here'!$B$10-SUM($AJ175:$AS175)-SUMPRODUCT(($Z$3:$AI$3&lt;AH$3)*($Z175:$AI175-$AJ175:$AS175))))</f>
        <v>0</v>
      </c>
      <c r="O175" s="42" t="n">
        <f aca="false">AS175+MIN(AI175-AS175,MAX(0,'Start Here'!$B$10-SUM($AJ175:$AS175)-SUMPRODUCT(($Z$3:$AI$3&lt;AI$3)*($Z175:$AI175-$AJ175:$AS175))))</f>
        <v>0</v>
      </c>
      <c r="P175" s="42" t="n">
        <f aca="false">ROUND(Z175-F175,2)</f>
        <v>0</v>
      </c>
      <c r="Q175" s="42" t="n">
        <f aca="false">ROUND(AA175-G175,2)</f>
        <v>0</v>
      </c>
      <c r="R175" s="42" t="n">
        <f aca="false">ROUND(AB175-H175,2)</f>
        <v>0</v>
      </c>
      <c r="S175" s="42" t="n">
        <f aca="false">ROUND(AC175-I175,2)</f>
        <v>0</v>
      </c>
      <c r="T175" s="42" t="n">
        <f aca="false">ROUND(AD175-J175,2)</f>
        <v>0</v>
      </c>
      <c r="U175" s="42" t="n">
        <f aca="false">ROUND(AE175-K175,2)</f>
        <v>0</v>
      </c>
      <c r="V175" s="42" t="n">
        <f aca="false">ROUND(AF175-L175,2)</f>
        <v>0</v>
      </c>
      <c r="W175" s="42" t="n">
        <f aca="false">ROUND(AG175-M175,2)</f>
        <v>0</v>
      </c>
      <c r="X175" s="42" t="n">
        <f aca="false">ROUND(AH175-N175,2)</f>
        <v>0</v>
      </c>
      <c r="Y175" s="42" t="n">
        <f aca="false">ROUND(AI175-O175,2)</f>
        <v>0</v>
      </c>
      <c r="Z175" s="56" t="n">
        <f aca="false">ROUND(P174*(1+N(Debts!$D$5)/12),2)</f>
        <v>0</v>
      </c>
      <c r="AA175" s="56" t="n">
        <f aca="false">ROUND(Q174*(1+N(Debts!$D$6)/12),2)</f>
        <v>0</v>
      </c>
      <c r="AB175" s="56" t="n">
        <f aca="false">ROUND(R174*(1+N(Debts!$D$7)/12),2)</f>
        <v>0</v>
      </c>
      <c r="AC175" s="56" t="n">
        <f aca="false">ROUND(S174*(1+N(Debts!$D$8)/12),2)</f>
        <v>0</v>
      </c>
      <c r="AD175" s="56" t="n">
        <f aca="false">ROUND(T174*(1+N(Debts!$D$9)/12),2)</f>
        <v>0</v>
      </c>
      <c r="AE175" s="56" t="n">
        <f aca="false">ROUND(U174*(1+N(Debts!$D$10)/12),2)</f>
        <v>0</v>
      </c>
      <c r="AF175" s="56" t="n">
        <f aca="false">ROUND(V174*(1+N(Debts!$D$11)/12),2)</f>
        <v>0</v>
      </c>
      <c r="AG175" s="56" t="n">
        <f aca="false">ROUND(W174*(1+N(Debts!$D$12)/12),2)</f>
        <v>0</v>
      </c>
      <c r="AH175" s="56" t="n">
        <f aca="false">ROUND(X174*(1+N(Debts!$D$13)/12),2)</f>
        <v>0</v>
      </c>
      <c r="AI175" s="56" t="n">
        <f aca="false">ROUND(Y174*(1+N(Debts!$D$14)/12),2)</f>
        <v>0</v>
      </c>
      <c r="AJ175" s="56" t="n">
        <f aca="false">MIN(Z175,MAX(0,N(Debts!$E$5)))</f>
        <v>0</v>
      </c>
      <c r="AK175" s="56" t="n">
        <f aca="false">MIN(AA175,MAX(0,N(Debts!$E$6)))</f>
        <v>0</v>
      </c>
      <c r="AL175" s="56" t="n">
        <f aca="false">MIN(AB175,MAX(0,N(Debts!$E$7)))</f>
        <v>0</v>
      </c>
      <c r="AM175" s="56" t="n">
        <f aca="false">MIN(AC175,MAX(0,N(Debts!$E$8)))</f>
        <v>0</v>
      </c>
      <c r="AN175" s="56" t="n">
        <f aca="false">MIN(AD175,MAX(0,N(Debts!$E$9)))</f>
        <v>0</v>
      </c>
      <c r="AO175" s="56" t="n">
        <f aca="false">MIN(AE175,MAX(0,N(Debts!$E$10)))</f>
        <v>0</v>
      </c>
      <c r="AP175" s="56" t="n">
        <f aca="false">MIN(AF175,MAX(0,N(Debts!$E$11)))</f>
        <v>0</v>
      </c>
      <c r="AQ175" s="56" t="n">
        <f aca="false">MIN(AG175,MAX(0,N(Debts!$E$12)))</f>
        <v>0</v>
      </c>
      <c r="AR175" s="56" t="n">
        <f aca="false">MIN(AH175,MAX(0,N(Debts!$E$13)))</f>
        <v>0</v>
      </c>
      <c r="AS175" s="56" t="n">
        <f aca="false">MIN(AI175,MAX(0,N(Debts!$E$14)))</f>
        <v>0</v>
      </c>
    </row>
    <row r="176" customFormat="false" ht="15" hidden="false" customHeight="false" outlineLevel="0" collapsed="false">
      <c r="A176" s="53" t="n">
        <v>172</v>
      </c>
      <c r="B176" s="54" t="n">
        <f aca="false">EDATE('Start Here'!$B$8,171)</f>
        <v>51533</v>
      </c>
      <c r="C176" s="42" t="n">
        <f aca="false">SUM(F176:O176)</f>
        <v>0</v>
      </c>
      <c r="D176" s="42" t="n">
        <f aca="false">ROUND(SUM($Z176:$AI176)-SUM(P175:Y175),2)</f>
        <v>0</v>
      </c>
      <c r="E176" s="55" t="n">
        <f aca="false">SUM(P176:Y176)</f>
        <v>0</v>
      </c>
      <c r="F176" s="42" t="n">
        <f aca="false">AJ176+MIN(Z176-AJ176,MAX(0,'Start Here'!$B$10-SUM($AJ176:$AS176)-SUMPRODUCT(($Z$3:$AI$3&lt;Z$3)*($Z176:$AI176-$AJ176:$AS176))))</f>
        <v>0</v>
      </c>
      <c r="G176" s="42" t="n">
        <f aca="false">AK176+MIN(AA176-AK176,MAX(0,'Start Here'!$B$10-SUM($AJ176:$AS176)-SUMPRODUCT(($Z$3:$AI$3&lt;AA$3)*($Z176:$AI176-$AJ176:$AS176))))</f>
        <v>0</v>
      </c>
      <c r="H176" s="42" t="n">
        <f aca="false">AL176+MIN(AB176-AL176,MAX(0,'Start Here'!$B$10-SUM($AJ176:$AS176)-SUMPRODUCT(($Z$3:$AI$3&lt;AB$3)*($Z176:$AI176-$AJ176:$AS176))))</f>
        <v>0</v>
      </c>
      <c r="I176" s="42" t="n">
        <f aca="false">AM176+MIN(AC176-AM176,MAX(0,'Start Here'!$B$10-SUM($AJ176:$AS176)-SUMPRODUCT(($Z$3:$AI$3&lt;AC$3)*($Z176:$AI176-$AJ176:$AS176))))</f>
        <v>0</v>
      </c>
      <c r="J176" s="42" t="n">
        <f aca="false">AN176+MIN(AD176-AN176,MAX(0,'Start Here'!$B$10-SUM($AJ176:$AS176)-SUMPRODUCT(($Z$3:$AI$3&lt;AD$3)*($Z176:$AI176-$AJ176:$AS176))))</f>
        <v>0</v>
      </c>
      <c r="K176" s="42" t="n">
        <f aca="false">AO176+MIN(AE176-AO176,MAX(0,'Start Here'!$B$10-SUM($AJ176:$AS176)-SUMPRODUCT(($Z$3:$AI$3&lt;AE$3)*($Z176:$AI176-$AJ176:$AS176))))</f>
        <v>0</v>
      </c>
      <c r="L176" s="42" t="n">
        <f aca="false">AP176+MIN(AF176-AP176,MAX(0,'Start Here'!$B$10-SUM($AJ176:$AS176)-SUMPRODUCT(($Z$3:$AI$3&lt;AF$3)*($Z176:$AI176-$AJ176:$AS176))))</f>
        <v>0</v>
      </c>
      <c r="M176" s="42" t="n">
        <f aca="false">AQ176+MIN(AG176-AQ176,MAX(0,'Start Here'!$B$10-SUM($AJ176:$AS176)-SUMPRODUCT(($Z$3:$AI$3&lt;AG$3)*($Z176:$AI176-$AJ176:$AS176))))</f>
        <v>0</v>
      </c>
      <c r="N176" s="42" t="n">
        <f aca="false">AR176+MIN(AH176-AR176,MAX(0,'Start Here'!$B$10-SUM($AJ176:$AS176)-SUMPRODUCT(($Z$3:$AI$3&lt;AH$3)*($Z176:$AI176-$AJ176:$AS176))))</f>
        <v>0</v>
      </c>
      <c r="O176" s="42" t="n">
        <f aca="false">AS176+MIN(AI176-AS176,MAX(0,'Start Here'!$B$10-SUM($AJ176:$AS176)-SUMPRODUCT(($Z$3:$AI$3&lt;AI$3)*($Z176:$AI176-$AJ176:$AS176))))</f>
        <v>0</v>
      </c>
      <c r="P176" s="42" t="n">
        <f aca="false">ROUND(Z176-F176,2)</f>
        <v>0</v>
      </c>
      <c r="Q176" s="42" t="n">
        <f aca="false">ROUND(AA176-G176,2)</f>
        <v>0</v>
      </c>
      <c r="R176" s="42" t="n">
        <f aca="false">ROUND(AB176-H176,2)</f>
        <v>0</v>
      </c>
      <c r="S176" s="42" t="n">
        <f aca="false">ROUND(AC176-I176,2)</f>
        <v>0</v>
      </c>
      <c r="T176" s="42" t="n">
        <f aca="false">ROUND(AD176-J176,2)</f>
        <v>0</v>
      </c>
      <c r="U176" s="42" t="n">
        <f aca="false">ROUND(AE176-K176,2)</f>
        <v>0</v>
      </c>
      <c r="V176" s="42" t="n">
        <f aca="false">ROUND(AF176-L176,2)</f>
        <v>0</v>
      </c>
      <c r="W176" s="42" t="n">
        <f aca="false">ROUND(AG176-M176,2)</f>
        <v>0</v>
      </c>
      <c r="X176" s="42" t="n">
        <f aca="false">ROUND(AH176-N176,2)</f>
        <v>0</v>
      </c>
      <c r="Y176" s="42" t="n">
        <f aca="false">ROUND(AI176-O176,2)</f>
        <v>0</v>
      </c>
      <c r="Z176" s="56" t="n">
        <f aca="false">ROUND(P175*(1+N(Debts!$D$5)/12),2)</f>
        <v>0</v>
      </c>
      <c r="AA176" s="56" t="n">
        <f aca="false">ROUND(Q175*(1+N(Debts!$D$6)/12),2)</f>
        <v>0</v>
      </c>
      <c r="AB176" s="56" t="n">
        <f aca="false">ROUND(R175*(1+N(Debts!$D$7)/12),2)</f>
        <v>0</v>
      </c>
      <c r="AC176" s="56" t="n">
        <f aca="false">ROUND(S175*(1+N(Debts!$D$8)/12),2)</f>
        <v>0</v>
      </c>
      <c r="AD176" s="56" t="n">
        <f aca="false">ROUND(T175*(1+N(Debts!$D$9)/12),2)</f>
        <v>0</v>
      </c>
      <c r="AE176" s="56" t="n">
        <f aca="false">ROUND(U175*(1+N(Debts!$D$10)/12),2)</f>
        <v>0</v>
      </c>
      <c r="AF176" s="56" t="n">
        <f aca="false">ROUND(V175*(1+N(Debts!$D$11)/12),2)</f>
        <v>0</v>
      </c>
      <c r="AG176" s="56" t="n">
        <f aca="false">ROUND(W175*(1+N(Debts!$D$12)/12),2)</f>
        <v>0</v>
      </c>
      <c r="AH176" s="56" t="n">
        <f aca="false">ROUND(X175*(1+N(Debts!$D$13)/12),2)</f>
        <v>0</v>
      </c>
      <c r="AI176" s="56" t="n">
        <f aca="false">ROUND(Y175*(1+N(Debts!$D$14)/12),2)</f>
        <v>0</v>
      </c>
      <c r="AJ176" s="56" t="n">
        <f aca="false">MIN(Z176,MAX(0,N(Debts!$E$5)))</f>
        <v>0</v>
      </c>
      <c r="AK176" s="56" t="n">
        <f aca="false">MIN(AA176,MAX(0,N(Debts!$E$6)))</f>
        <v>0</v>
      </c>
      <c r="AL176" s="56" t="n">
        <f aca="false">MIN(AB176,MAX(0,N(Debts!$E$7)))</f>
        <v>0</v>
      </c>
      <c r="AM176" s="56" t="n">
        <f aca="false">MIN(AC176,MAX(0,N(Debts!$E$8)))</f>
        <v>0</v>
      </c>
      <c r="AN176" s="56" t="n">
        <f aca="false">MIN(AD176,MAX(0,N(Debts!$E$9)))</f>
        <v>0</v>
      </c>
      <c r="AO176" s="56" t="n">
        <f aca="false">MIN(AE176,MAX(0,N(Debts!$E$10)))</f>
        <v>0</v>
      </c>
      <c r="AP176" s="56" t="n">
        <f aca="false">MIN(AF176,MAX(0,N(Debts!$E$11)))</f>
        <v>0</v>
      </c>
      <c r="AQ176" s="56" t="n">
        <f aca="false">MIN(AG176,MAX(0,N(Debts!$E$12)))</f>
        <v>0</v>
      </c>
      <c r="AR176" s="56" t="n">
        <f aca="false">MIN(AH176,MAX(0,N(Debts!$E$13)))</f>
        <v>0</v>
      </c>
      <c r="AS176" s="56" t="n">
        <f aca="false">MIN(AI176,MAX(0,N(Debts!$E$14)))</f>
        <v>0</v>
      </c>
    </row>
    <row r="177" customFormat="false" ht="15" hidden="false" customHeight="false" outlineLevel="0" collapsed="false">
      <c r="A177" s="53" t="n">
        <v>173</v>
      </c>
      <c r="B177" s="54" t="n">
        <f aca="false">EDATE('Start Here'!$B$8,172)</f>
        <v>51561</v>
      </c>
      <c r="C177" s="42" t="n">
        <f aca="false">SUM(F177:O177)</f>
        <v>0</v>
      </c>
      <c r="D177" s="42" t="n">
        <f aca="false">ROUND(SUM($Z177:$AI177)-SUM(P176:Y176),2)</f>
        <v>0</v>
      </c>
      <c r="E177" s="55" t="n">
        <f aca="false">SUM(P177:Y177)</f>
        <v>0</v>
      </c>
      <c r="F177" s="42" t="n">
        <f aca="false">AJ177+MIN(Z177-AJ177,MAX(0,'Start Here'!$B$10-SUM($AJ177:$AS177)-SUMPRODUCT(($Z$3:$AI$3&lt;Z$3)*($Z177:$AI177-$AJ177:$AS177))))</f>
        <v>0</v>
      </c>
      <c r="G177" s="42" t="n">
        <f aca="false">AK177+MIN(AA177-AK177,MAX(0,'Start Here'!$B$10-SUM($AJ177:$AS177)-SUMPRODUCT(($Z$3:$AI$3&lt;AA$3)*($Z177:$AI177-$AJ177:$AS177))))</f>
        <v>0</v>
      </c>
      <c r="H177" s="42" t="n">
        <f aca="false">AL177+MIN(AB177-AL177,MAX(0,'Start Here'!$B$10-SUM($AJ177:$AS177)-SUMPRODUCT(($Z$3:$AI$3&lt;AB$3)*($Z177:$AI177-$AJ177:$AS177))))</f>
        <v>0</v>
      </c>
      <c r="I177" s="42" t="n">
        <f aca="false">AM177+MIN(AC177-AM177,MAX(0,'Start Here'!$B$10-SUM($AJ177:$AS177)-SUMPRODUCT(($Z$3:$AI$3&lt;AC$3)*($Z177:$AI177-$AJ177:$AS177))))</f>
        <v>0</v>
      </c>
      <c r="J177" s="42" t="n">
        <f aca="false">AN177+MIN(AD177-AN177,MAX(0,'Start Here'!$B$10-SUM($AJ177:$AS177)-SUMPRODUCT(($Z$3:$AI$3&lt;AD$3)*($Z177:$AI177-$AJ177:$AS177))))</f>
        <v>0</v>
      </c>
      <c r="K177" s="42" t="n">
        <f aca="false">AO177+MIN(AE177-AO177,MAX(0,'Start Here'!$B$10-SUM($AJ177:$AS177)-SUMPRODUCT(($Z$3:$AI$3&lt;AE$3)*($Z177:$AI177-$AJ177:$AS177))))</f>
        <v>0</v>
      </c>
      <c r="L177" s="42" t="n">
        <f aca="false">AP177+MIN(AF177-AP177,MAX(0,'Start Here'!$B$10-SUM($AJ177:$AS177)-SUMPRODUCT(($Z$3:$AI$3&lt;AF$3)*($Z177:$AI177-$AJ177:$AS177))))</f>
        <v>0</v>
      </c>
      <c r="M177" s="42" t="n">
        <f aca="false">AQ177+MIN(AG177-AQ177,MAX(0,'Start Here'!$B$10-SUM($AJ177:$AS177)-SUMPRODUCT(($Z$3:$AI$3&lt;AG$3)*($Z177:$AI177-$AJ177:$AS177))))</f>
        <v>0</v>
      </c>
      <c r="N177" s="42" t="n">
        <f aca="false">AR177+MIN(AH177-AR177,MAX(0,'Start Here'!$B$10-SUM($AJ177:$AS177)-SUMPRODUCT(($Z$3:$AI$3&lt;AH$3)*($Z177:$AI177-$AJ177:$AS177))))</f>
        <v>0</v>
      </c>
      <c r="O177" s="42" t="n">
        <f aca="false">AS177+MIN(AI177-AS177,MAX(0,'Start Here'!$B$10-SUM($AJ177:$AS177)-SUMPRODUCT(($Z$3:$AI$3&lt;AI$3)*($Z177:$AI177-$AJ177:$AS177))))</f>
        <v>0</v>
      </c>
      <c r="P177" s="42" t="n">
        <f aca="false">ROUND(Z177-F177,2)</f>
        <v>0</v>
      </c>
      <c r="Q177" s="42" t="n">
        <f aca="false">ROUND(AA177-G177,2)</f>
        <v>0</v>
      </c>
      <c r="R177" s="42" t="n">
        <f aca="false">ROUND(AB177-H177,2)</f>
        <v>0</v>
      </c>
      <c r="S177" s="42" t="n">
        <f aca="false">ROUND(AC177-I177,2)</f>
        <v>0</v>
      </c>
      <c r="T177" s="42" t="n">
        <f aca="false">ROUND(AD177-J177,2)</f>
        <v>0</v>
      </c>
      <c r="U177" s="42" t="n">
        <f aca="false">ROUND(AE177-K177,2)</f>
        <v>0</v>
      </c>
      <c r="V177" s="42" t="n">
        <f aca="false">ROUND(AF177-L177,2)</f>
        <v>0</v>
      </c>
      <c r="W177" s="42" t="n">
        <f aca="false">ROUND(AG177-M177,2)</f>
        <v>0</v>
      </c>
      <c r="X177" s="42" t="n">
        <f aca="false">ROUND(AH177-N177,2)</f>
        <v>0</v>
      </c>
      <c r="Y177" s="42" t="n">
        <f aca="false">ROUND(AI177-O177,2)</f>
        <v>0</v>
      </c>
      <c r="Z177" s="56" t="n">
        <f aca="false">ROUND(P176*(1+N(Debts!$D$5)/12),2)</f>
        <v>0</v>
      </c>
      <c r="AA177" s="56" t="n">
        <f aca="false">ROUND(Q176*(1+N(Debts!$D$6)/12),2)</f>
        <v>0</v>
      </c>
      <c r="AB177" s="56" t="n">
        <f aca="false">ROUND(R176*(1+N(Debts!$D$7)/12),2)</f>
        <v>0</v>
      </c>
      <c r="AC177" s="56" t="n">
        <f aca="false">ROUND(S176*(1+N(Debts!$D$8)/12),2)</f>
        <v>0</v>
      </c>
      <c r="AD177" s="56" t="n">
        <f aca="false">ROUND(T176*(1+N(Debts!$D$9)/12),2)</f>
        <v>0</v>
      </c>
      <c r="AE177" s="56" t="n">
        <f aca="false">ROUND(U176*(1+N(Debts!$D$10)/12),2)</f>
        <v>0</v>
      </c>
      <c r="AF177" s="56" t="n">
        <f aca="false">ROUND(V176*(1+N(Debts!$D$11)/12),2)</f>
        <v>0</v>
      </c>
      <c r="AG177" s="56" t="n">
        <f aca="false">ROUND(W176*(1+N(Debts!$D$12)/12),2)</f>
        <v>0</v>
      </c>
      <c r="AH177" s="56" t="n">
        <f aca="false">ROUND(X176*(1+N(Debts!$D$13)/12),2)</f>
        <v>0</v>
      </c>
      <c r="AI177" s="56" t="n">
        <f aca="false">ROUND(Y176*(1+N(Debts!$D$14)/12),2)</f>
        <v>0</v>
      </c>
      <c r="AJ177" s="56" t="n">
        <f aca="false">MIN(Z177,MAX(0,N(Debts!$E$5)))</f>
        <v>0</v>
      </c>
      <c r="AK177" s="56" t="n">
        <f aca="false">MIN(AA177,MAX(0,N(Debts!$E$6)))</f>
        <v>0</v>
      </c>
      <c r="AL177" s="56" t="n">
        <f aca="false">MIN(AB177,MAX(0,N(Debts!$E$7)))</f>
        <v>0</v>
      </c>
      <c r="AM177" s="56" t="n">
        <f aca="false">MIN(AC177,MAX(0,N(Debts!$E$8)))</f>
        <v>0</v>
      </c>
      <c r="AN177" s="56" t="n">
        <f aca="false">MIN(AD177,MAX(0,N(Debts!$E$9)))</f>
        <v>0</v>
      </c>
      <c r="AO177" s="56" t="n">
        <f aca="false">MIN(AE177,MAX(0,N(Debts!$E$10)))</f>
        <v>0</v>
      </c>
      <c r="AP177" s="56" t="n">
        <f aca="false">MIN(AF177,MAX(0,N(Debts!$E$11)))</f>
        <v>0</v>
      </c>
      <c r="AQ177" s="56" t="n">
        <f aca="false">MIN(AG177,MAX(0,N(Debts!$E$12)))</f>
        <v>0</v>
      </c>
      <c r="AR177" s="56" t="n">
        <f aca="false">MIN(AH177,MAX(0,N(Debts!$E$13)))</f>
        <v>0</v>
      </c>
      <c r="AS177" s="56" t="n">
        <f aca="false">MIN(AI177,MAX(0,N(Debts!$E$14)))</f>
        <v>0</v>
      </c>
    </row>
    <row r="178" customFormat="false" ht="15" hidden="false" customHeight="false" outlineLevel="0" collapsed="false">
      <c r="A178" s="53" t="n">
        <v>174</v>
      </c>
      <c r="B178" s="54" t="n">
        <f aca="false">EDATE('Start Here'!$B$8,173)</f>
        <v>51592</v>
      </c>
      <c r="C178" s="42" t="n">
        <f aca="false">SUM(F178:O178)</f>
        <v>0</v>
      </c>
      <c r="D178" s="42" t="n">
        <f aca="false">ROUND(SUM($Z178:$AI178)-SUM(P177:Y177),2)</f>
        <v>0</v>
      </c>
      <c r="E178" s="55" t="n">
        <f aca="false">SUM(P178:Y178)</f>
        <v>0</v>
      </c>
      <c r="F178" s="42" t="n">
        <f aca="false">AJ178+MIN(Z178-AJ178,MAX(0,'Start Here'!$B$10-SUM($AJ178:$AS178)-SUMPRODUCT(($Z$3:$AI$3&lt;Z$3)*($Z178:$AI178-$AJ178:$AS178))))</f>
        <v>0</v>
      </c>
      <c r="G178" s="42" t="n">
        <f aca="false">AK178+MIN(AA178-AK178,MAX(0,'Start Here'!$B$10-SUM($AJ178:$AS178)-SUMPRODUCT(($Z$3:$AI$3&lt;AA$3)*($Z178:$AI178-$AJ178:$AS178))))</f>
        <v>0</v>
      </c>
      <c r="H178" s="42" t="n">
        <f aca="false">AL178+MIN(AB178-AL178,MAX(0,'Start Here'!$B$10-SUM($AJ178:$AS178)-SUMPRODUCT(($Z$3:$AI$3&lt;AB$3)*($Z178:$AI178-$AJ178:$AS178))))</f>
        <v>0</v>
      </c>
      <c r="I178" s="42" t="n">
        <f aca="false">AM178+MIN(AC178-AM178,MAX(0,'Start Here'!$B$10-SUM($AJ178:$AS178)-SUMPRODUCT(($Z$3:$AI$3&lt;AC$3)*($Z178:$AI178-$AJ178:$AS178))))</f>
        <v>0</v>
      </c>
      <c r="J178" s="42" t="n">
        <f aca="false">AN178+MIN(AD178-AN178,MAX(0,'Start Here'!$B$10-SUM($AJ178:$AS178)-SUMPRODUCT(($Z$3:$AI$3&lt;AD$3)*($Z178:$AI178-$AJ178:$AS178))))</f>
        <v>0</v>
      </c>
      <c r="K178" s="42" t="n">
        <f aca="false">AO178+MIN(AE178-AO178,MAX(0,'Start Here'!$B$10-SUM($AJ178:$AS178)-SUMPRODUCT(($Z$3:$AI$3&lt;AE$3)*($Z178:$AI178-$AJ178:$AS178))))</f>
        <v>0</v>
      </c>
      <c r="L178" s="42" t="n">
        <f aca="false">AP178+MIN(AF178-AP178,MAX(0,'Start Here'!$B$10-SUM($AJ178:$AS178)-SUMPRODUCT(($Z$3:$AI$3&lt;AF$3)*($Z178:$AI178-$AJ178:$AS178))))</f>
        <v>0</v>
      </c>
      <c r="M178" s="42" t="n">
        <f aca="false">AQ178+MIN(AG178-AQ178,MAX(0,'Start Here'!$B$10-SUM($AJ178:$AS178)-SUMPRODUCT(($Z$3:$AI$3&lt;AG$3)*($Z178:$AI178-$AJ178:$AS178))))</f>
        <v>0</v>
      </c>
      <c r="N178" s="42" t="n">
        <f aca="false">AR178+MIN(AH178-AR178,MAX(0,'Start Here'!$B$10-SUM($AJ178:$AS178)-SUMPRODUCT(($Z$3:$AI$3&lt;AH$3)*($Z178:$AI178-$AJ178:$AS178))))</f>
        <v>0</v>
      </c>
      <c r="O178" s="42" t="n">
        <f aca="false">AS178+MIN(AI178-AS178,MAX(0,'Start Here'!$B$10-SUM($AJ178:$AS178)-SUMPRODUCT(($Z$3:$AI$3&lt;AI$3)*($Z178:$AI178-$AJ178:$AS178))))</f>
        <v>0</v>
      </c>
      <c r="P178" s="42" t="n">
        <f aca="false">ROUND(Z178-F178,2)</f>
        <v>0</v>
      </c>
      <c r="Q178" s="42" t="n">
        <f aca="false">ROUND(AA178-G178,2)</f>
        <v>0</v>
      </c>
      <c r="R178" s="42" t="n">
        <f aca="false">ROUND(AB178-H178,2)</f>
        <v>0</v>
      </c>
      <c r="S178" s="42" t="n">
        <f aca="false">ROUND(AC178-I178,2)</f>
        <v>0</v>
      </c>
      <c r="T178" s="42" t="n">
        <f aca="false">ROUND(AD178-J178,2)</f>
        <v>0</v>
      </c>
      <c r="U178" s="42" t="n">
        <f aca="false">ROUND(AE178-K178,2)</f>
        <v>0</v>
      </c>
      <c r="V178" s="42" t="n">
        <f aca="false">ROUND(AF178-L178,2)</f>
        <v>0</v>
      </c>
      <c r="W178" s="42" t="n">
        <f aca="false">ROUND(AG178-M178,2)</f>
        <v>0</v>
      </c>
      <c r="X178" s="42" t="n">
        <f aca="false">ROUND(AH178-N178,2)</f>
        <v>0</v>
      </c>
      <c r="Y178" s="42" t="n">
        <f aca="false">ROUND(AI178-O178,2)</f>
        <v>0</v>
      </c>
      <c r="Z178" s="56" t="n">
        <f aca="false">ROUND(P177*(1+N(Debts!$D$5)/12),2)</f>
        <v>0</v>
      </c>
      <c r="AA178" s="56" t="n">
        <f aca="false">ROUND(Q177*(1+N(Debts!$D$6)/12),2)</f>
        <v>0</v>
      </c>
      <c r="AB178" s="56" t="n">
        <f aca="false">ROUND(R177*(1+N(Debts!$D$7)/12),2)</f>
        <v>0</v>
      </c>
      <c r="AC178" s="56" t="n">
        <f aca="false">ROUND(S177*(1+N(Debts!$D$8)/12),2)</f>
        <v>0</v>
      </c>
      <c r="AD178" s="56" t="n">
        <f aca="false">ROUND(T177*(1+N(Debts!$D$9)/12),2)</f>
        <v>0</v>
      </c>
      <c r="AE178" s="56" t="n">
        <f aca="false">ROUND(U177*(1+N(Debts!$D$10)/12),2)</f>
        <v>0</v>
      </c>
      <c r="AF178" s="56" t="n">
        <f aca="false">ROUND(V177*(1+N(Debts!$D$11)/12),2)</f>
        <v>0</v>
      </c>
      <c r="AG178" s="56" t="n">
        <f aca="false">ROUND(W177*(1+N(Debts!$D$12)/12),2)</f>
        <v>0</v>
      </c>
      <c r="AH178" s="56" t="n">
        <f aca="false">ROUND(X177*(1+N(Debts!$D$13)/12),2)</f>
        <v>0</v>
      </c>
      <c r="AI178" s="56" t="n">
        <f aca="false">ROUND(Y177*(1+N(Debts!$D$14)/12),2)</f>
        <v>0</v>
      </c>
      <c r="AJ178" s="56" t="n">
        <f aca="false">MIN(Z178,MAX(0,N(Debts!$E$5)))</f>
        <v>0</v>
      </c>
      <c r="AK178" s="56" t="n">
        <f aca="false">MIN(AA178,MAX(0,N(Debts!$E$6)))</f>
        <v>0</v>
      </c>
      <c r="AL178" s="56" t="n">
        <f aca="false">MIN(AB178,MAX(0,N(Debts!$E$7)))</f>
        <v>0</v>
      </c>
      <c r="AM178" s="56" t="n">
        <f aca="false">MIN(AC178,MAX(0,N(Debts!$E$8)))</f>
        <v>0</v>
      </c>
      <c r="AN178" s="56" t="n">
        <f aca="false">MIN(AD178,MAX(0,N(Debts!$E$9)))</f>
        <v>0</v>
      </c>
      <c r="AO178" s="56" t="n">
        <f aca="false">MIN(AE178,MAX(0,N(Debts!$E$10)))</f>
        <v>0</v>
      </c>
      <c r="AP178" s="56" t="n">
        <f aca="false">MIN(AF178,MAX(0,N(Debts!$E$11)))</f>
        <v>0</v>
      </c>
      <c r="AQ178" s="56" t="n">
        <f aca="false">MIN(AG178,MAX(0,N(Debts!$E$12)))</f>
        <v>0</v>
      </c>
      <c r="AR178" s="56" t="n">
        <f aca="false">MIN(AH178,MAX(0,N(Debts!$E$13)))</f>
        <v>0</v>
      </c>
      <c r="AS178" s="56" t="n">
        <f aca="false">MIN(AI178,MAX(0,N(Debts!$E$14)))</f>
        <v>0</v>
      </c>
    </row>
    <row r="179" customFormat="false" ht="15" hidden="false" customHeight="false" outlineLevel="0" collapsed="false">
      <c r="A179" s="53" t="n">
        <v>175</v>
      </c>
      <c r="B179" s="54" t="n">
        <f aca="false">EDATE('Start Here'!$B$8,174)</f>
        <v>51622</v>
      </c>
      <c r="C179" s="42" t="n">
        <f aca="false">SUM(F179:O179)</f>
        <v>0</v>
      </c>
      <c r="D179" s="42" t="n">
        <f aca="false">ROUND(SUM($Z179:$AI179)-SUM(P178:Y178),2)</f>
        <v>0</v>
      </c>
      <c r="E179" s="55" t="n">
        <f aca="false">SUM(P179:Y179)</f>
        <v>0</v>
      </c>
      <c r="F179" s="42" t="n">
        <f aca="false">AJ179+MIN(Z179-AJ179,MAX(0,'Start Here'!$B$10-SUM($AJ179:$AS179)-SUMPRODUCT(($Z$3:$AI$3&lt;Z$3)*($Z179:$AI179-$AJ179:$AS179))))</f>
        <v>0</v>
      </c>
      <c r="G179" s="42" t="n">
        <f aca="false">AK179+MIN(AA179-AK179,MAX(0,'Start Here'!$B$10-SUM($AJ179:$AS179)-SUMPRODUCT(($Z$3:$AI$3&lt;AA$3)*($Z179:$AI179-$AJ179:$AS179))))</f>
        <v>0</v>
      </c>
      <c r="H179" s="42" t="n">
        <f aca="false">AL179+MIN(AB179-AL179,MAX(0,'Start Here'!$B$10-SUM($AJ179:$AS179)-SUMPRODUCT(($Z$3:$AI$3&lt;AB$3)*($Z179:$AI179-$AJ179:$AS179))))</f>
        <v>0</v>
      </c>
      <c r="I179" s="42" t="n">
        <f aca="false">AM179+MIN(AC179-AM179,MAX(0,'Start Here'!$B$10-SUM($AJ179:$AS179)-SUMPRODUCT(($Z$3:$AI$3&lt;AC$3)*($Z179:$AI179-$AJ179:$AS179))))</f>
        <v>0</v>
      </c>
      <c r="J179" s="42" t="n">
        <f aca="false">AN179+MIN(AD179-AN179,MAX(0,'Start Here'!$B$10-SUM($AJ179:$AS179)-SUMPRODUCT(($Z$3:$AI$3&lt;AD$3)*($Z179:$AI179-$AJ179:$AS179))))</f>
        <v>0</v>
      </c>
      <c r="K179" s="42" t="n">
        <f aca="false">AO179+MIN(AE179-AO179,MAX(0,'Start Here'!$B$10-SUM($AJ179:$AS179)-SUMPRODUCT(($Z$3:$AI$3&lt;AE$3)*($Z179:$AI179-$AJ179:$AS179))))</f>
        <v>0</v>
      </c>
      <c r="L179" s="42" t="n">
        <f aca="false">AP179+MIN(AF179-AP179,MAX(0,'Start Here'!$B$10-SUM($AJ179:$AS179)-SUMPRODUCT(($Z$3:$AI$3&lt;AF$3)*($Z179:$AI179-$AJ179:$AS179))))</f>
        <v>0</v>
      </c>
      <c r="M179" s="42" t="n">
        <f aca="false">AQ179+MIN(AG179-AQ179,MAX(0,'Start Here'!$B$10-SUM($AJ179:$AS179)-SUMPRODUCT(($Z$3:$AI$3&lt;AG$3)*($Z179:$AI179-$AJ179:$AS179))))</f>
        <v>0</v>
      </c>
      <c r="N179" s="42" t="n">
        <f aca="false">AR179+MIN(AH179-AR179,MAX(0,'Start Here'!$B$10-SUM($AJ179:$AS179)-SUMPRODUCT(($Z$3:$AI$3&lt;AH$3)*($Z179:$AI179-$AJ179:$AS179))))</f>
        <v>0</v>
      </c>
      <c r="O179" s="42" t="n">
        <f aca="false">AS179+MIN(AI179-AS179,MAX(0,'Start Here'!$B$10-SUM($AJ179:$AS179)-SUMPRODUCT(($Z$3:$AI$3&lt;AI$3)*($Z179:$AI179-$AJ179:$AS179))))</f>
        <v>0</v>
      </c>
      <c r="P179" s="42" t="n">
        <f aca="false">ROUND(Z179-F179,2)</f>
        <v>0</v>
      </c>
      <c r="Q179" s="42" t="n">
        <f aca="false">ROUND(AA179-G179,2)</f>
        <v>0</v>
      </c>
      <c r="R179" s="42" t="n">
        <f aca="false">ROUND(AB179-H179,2)</f>
        <v>0</v>
      </c>
      <c r="S179" s="42" t="n">
        <f aca="false">ROUND(AC179-I179,2)</f>
        <v>0</v>
      </c>
      <c r="T179" s="42" t="n">
        <f aca="false">ROUND(AD179-J179,2)</f>
        <v>0</v>
      </c>
      <c r="U179" s="42" t="n">
        <f aca="false">ROUND(AE179-K179,2)</f>
        <v>0</v>
      </c>
      <c r="V179" s="42" t="n">
        <f aca="false">ROUND(AF179-L179,2)</f>
        <v>0</v>
      </c>
      <c r="W179" s="42" t="n">
        <f aca="false">ROUND(AG179-M179,2)</f>
        <v>0</v>
      </c>
      <c r="X179" s="42" t="n">
        <f aca="false">ROUND(AH179-N179,2)</f>
        <v>0</v>
      </c>
      <c r="Y179" s="42" t="n">
        <f aca="false">ROUND(AI179-O179,2)</f>
        <v>0</v>
      </c>
      <c r="Z179" s="56" t="n">
        <f aca="false">ROUND(P178*(1+N(Debts!$D$5)/12),2)</f>
        <v>0</v>
      </c>
      <c r="AA179" s="56" t="n">
        <f aca="false">ROUND(Q178*(1+N(Debts!$D$6)/12),2)</f>
        <v>0</v>
      </c>
      <c r="AB179" s="56" t="n">
        <f aca="false">ROUND(R178*(1+N(Debts!$D$7)/12),2)</f>
        <v>0</v>
      </c>
      <c r="AC179" s="56" t="n">
        <f aca="false">ROUND(S178*(1+N(Debts!$D$8)/12),2)</f>
        <v>0</v>
      </c>
      <c r="AD179" s="56" t="n">
        <f aca="false">ROUND(T178*(1+N(Debts!$D$9)/12),2)</f>
        <v>0</v>
      </c>
      <c r="AE179" s="56" t="n">
        <f aca="false">ROUND(U178*(1+N(Debts!$D$10)/12),2)</f>
        <v>0</v>
      </c>
      <c r="AF179" s="56" t="n">
        <f aca="false">ROUND(V178*(1+N(Debts!$D$11)/12),2)</f>
        <v>0</v>
      </c>
      <c r="AG179" s="56" t="n">
        <f aca="false">ROUND(W178*(1+N(Debts!$D$12)/12),2)</f>
        <v>0</v>
      </c>
      <c r="AH179" s="56" t="n">
        <f aca="false">ROUND(X178*(1+N(Debts!$D$13)/12),2)</f>
        <v>0</v>
      </c>
      <c r="AI179" s="56" t="n">
        <f aca="false">ROUND(Y178*(1+N(Debts!$D$14)/12),2)</f>
        <v>0</v>
      </c>
      <c r="AJ179" s="56" t="n">
        <f aca="false">MIN(Z179,MAX(0,N(Debts!$E$5)))</f>
        <v>0</v>
      </c>
      <c r="AK179" s="56" t="n">
        <f aca="false">MIN(AA179,MAX(0,N(Debts!$E$6)))</f>
        <v>0</v>
      </c>
      <c r="AL179" s="56" t="n">
        <f aca="false">MIN(AB179,MAX(0,N(Debts!$E$7)))</f>
        <v>0</v>
      </c>
      <c r="AM179" s="56" t="n">
        <f aca="false">MIN(AC179,MAX(0,N(Debts!$E$8)))</f>
        <v>0</v>
      </c>
      <c r="AN179" s="56" t="n">
        <f aca="false">MIN(AD179,MAX(0,N(Debts!$E$9)))</f>
        <v>0</v>
      </c>
      <c r="AO179" s="56" t="n">
        <f aca="false">MIN(AE179,MAX(0,N(Debts!$E$10)))</f>
        <v>0</v>
      </c>
      <c r="AP179" s="56" t="n">
        <f aca="false">MIN(AF179,MAX(0,N(Debts!$E$11)))</f>
        <v>0</v>
      </c>
      <c r="AQ179" s="56" t="n">
        <f aca="false">MIN(AG179,MAX(0,N(Debts!$E$12)))</f>
        <v>0</v>
      </c>
      <c r="AR179" s="56" t="n">
        <f aca="false">MIN(AH179,MAX(0,N(Debts!$E$13)))</f>
        <v>0</v>
      </c>
      <c r="AS179" s="56" t="n">
        <f aca="false">MIN(AI179,MAX(0,N(Debts!$E$14)))</f>
        <v>0</v>
      </c>
    </row>
    <row r="180" customFormat="false" ht="15" hidden="false" customHeight="false" outlineLevel="0" collapsed="false">
      <c r="A180" s="53" t="n">
        <v>176</v>
      </c>
      <c r="B180" s="54" t="n">
        <f aca="false">EDATE('Start Here'!$B$8,175)</f>
        <v>51653</v>
      </c>
      <c r="C180" s="42" t="n">
        <f aca="false">SUM(F180:O180)</f>
        <v>0</v>
      </c>
      <c r="D180" s="42" t="n">
        <f aca="false">ROUND(SUM($Z180:$AI180)-SUM(P179:Y179),2)</f>
        <v>0</v>
      </c>
      <c r="E180" s="55" t="n">
        <f aca="false">SUM(P180:Y180)</f>
        <v>0</v>
      </c>
      <c r="F180" s="42" t="n">
        <f aca="false">AJ180+MIN(Z180-AJ180,MAX(0,'Start Here'!$B$10-SUM($AJ180:$AS180)-SUMPRODUCT(($Z$3:$AI$3&lt;Z$3)*($Z180:$AI180-$AJ180:$AS180))))</f>
        <v>0</v>
      </c>
      <c r="G180" s="42" t="n">
        <f aca="false">AK180+MIN(AA180-AK180,MAX(0,'Start Here'!$B$10-SUM($AJ180:$AS180)-SUMPRODUCT(($Z$3:$AI$3&lt;AA$3)*($Z180:$AI180-$AJ180:$AS180))))</f>
        <v>0</v>
      </c>
      <c r="H180" s="42" t="n">
        <f aca="false">AL180+MIN(AB180-AL180,MAX(0,'Start Here'!$B$10-SUM($AJ180:$AS180)-SUMPRODUCT(($Z$3:$AI$3&lt;AB$3)*($Z180:$AI180-$AJ180:$AS180))))</f>
        <v>0</v>
      </c>
      <c r="I180" s="42" t="n">
        <f aca="false">AM180+MIN(AC180-AM180,MAX(0,'Start Here'!$B$10-SUM($AJ180:$AS180)-SUMPRODUCT(($Z$3:$AI$3&lt;AC$3)*($Z180:$AI180-$AJ180:$AS180))))</f>
        <v>0</v>
      </c>
      <c r="J180" s="42" t="n">
        <f aca="false">AN180+MIN(AD180-AN180,MAX(0,'Start Here'!$B$10-SUM($AJ180:$AS180)-SUMPRODUCT(($Z$3:$AI$3&lt;AD$3)*($Z180:$AI180-$AJ180:$AS180))))</f>
        <v>0</v>
      </c>
      <c r="K180" s="42" t="n">
        <f aca="false">AO180+MIN(AE180-AO180,MAX(0,'Start Here'!$B$10-SUM($AJ180:$AS180)-SUMPRODUCT(($Z$3:$AI$3&lt;AE$3)*($Z180:$AI180-$AJ180:$AS180))))</f>
        <v>0</v>
      </c>
      <c r="L180" s="42" t="n">
        <f aca="false">AP180+MIN(AF180-AP180,MAX(0,'Start Here'!$B$10-SUM($AJ180:$AS180)-SUMPRODUCT(($Z$3:$AI$3&lt;AF$3)*($Z180:$AI180-$AJ180:$AS180))))</f>
        <v>0</v>
      </c>
      <c r="M180" s="42" t="n">
        <f aca="false">AQ180+MIN(AG180-AQ180,MAX(0,'Start Here'!$B$10-SUM($AJ180:$AS180)-SUMPRODUCT(($Z$3:$AI$3&lt;AG$3)*($Z180:$AI180-$AJ180:$AS180))))</f>
        <v>0</v>
      </c>
      <c r="N180" s="42" t="n">
        <f aca="false">AR180+MIN(AH180-AR180,MAX(0,'Start Here'!$B$10-SUM($AJ180:$AS180)-SUMPRODUCT(($Z$3:$AI$3&lt;AH$3)*($Z180:$AI180-$AJ180:$AS180))))</f>
        <v>0</v>
      </c>
      <c r="O180" s="42" t="n">
        <f aca="false">AS180+MIN(AI180-AS180,MAX(0,'Start Here'!$B$10-SUM($AJ180:$AS180)-SUMPRODUCT(($Z$3:$AI$3&lt;AI$3)*($Z180:$AI180-$AJ180:$AS180))))</f>
        <v>0</v>
      </c>
      <c r="P180" s="42" t="n">
        <f aca="false">ROUND(Z180-F180,2)</f>
        <v>0</v>
      </c>
      <c r="Q180" s="42" t="n">
        <f aca="false">ROUND(AA180-G180,2)</f>
        <v>0</v>
      </c>
      <c r="R180" s="42" t="n">
        <f aca="false">ROUND(AB180-H180,2)</f>
        <v>0</v>
      </c>
      <c r="S180" s="42" t="n">
        <f aca="false">ROUND(AC180-I180,2)</f>
        <v>0</v>
      </c>
      <c r="T180" s="42" t="n">
        <f aca="false">ROUND(AD180-J180,2)</f>
        <v>0</v>
      </c>
      <c r="U180" s="42" t="n">
        <f aca="false">ROUND(AE180-K180,2)</f>
        <v>0</v>
      </c>
      <c r="V180" s="42" t="n">
        <f aca="false">ROUND(AF180-L180,2)</f>
        <v>0</v>
      </c>
      <c r="W180" s="42" t="n">
        <f aca="false">ROUND(AG180-M180,2)</f>
        <v>0</v>
      </c>
      <c r="X180" s="42" t="n">
        <f aca="false">ROUND(AH180-N180,2)</f>
        <v>0</v>
      </c>
      <c r="Y180" s="42" t="n">
        <f aca="false">ROUND(AI180-O180,2)</f>
        <v>0</v>
      </c>
      <c r="Z180" s="56" t="n">
        <f aca="false">ROUND(P179*(1+N(Debts!$D$5)/12),2)</f>
        <v>0</v>
      </c>
      <c r="AA180" s="56" t="n">
        <f aca="false">ROUND(Q179*(1+N(Debts!$D$6)/12),2)</f>
        <v>0</v>
      </c>
      <c r="AB180" s="56" t="n">
        <f aca="false">ROUND(R179*(1+N(Debts!$D$7)/12),2)</f>
        <v>0</v>
      </c>
      <c r="AC180" s="56" t="n">
        <f aca="false">ROUND(S179*(1+N(Debts!$D$8)/12),2)</f>
        <v>0</v>
      </c>
      <c r="AD180" s="56" t="n">
        <f aca="false">ROUND(T179*(1+N(Debts!$D$9)/12),2)</f>
        <v>0</v>
      </c>
      <c r="AE180" s="56" t="n">
        <f aca="false">ROUND(U179*(1+N(Debts!$D$10)/12),2)</f>
        <v>0</v>
      </c>
      <c r="AF180" s="56" t="n">
        <f aca="false">ROUND(V179*(1+N(Debts!$D$11)/12),2)</f>
        <v>0</v>
      </c>
      <c r="AG180" s="56" t="n">
        <f aca="false">ROUND(W179*(1+N(Debts!$D$12)/12),2)</f>
        <v>0</v>
      </c>
      <c r="AH180" s="56" t="n">
        <f aca="false">ROUND(X179*(1+N(Debts!$D$13)/12),2)</f>
        <v>0</v>
      </c>
      <c r="AI180" s="56" t="n">
        <f aca="false">ROUND(Y179*(1+N(Debts!$D$14)/12),2)</f>
        <v>0</v>
      </c>
      <c r="AJ180" s="56" t="n">
        <f aca="false">MIN(Z180,MAX(0,N(Debts!$E$5)))</f>
        <v>0</v>
      </c>
      <c r="AK180" s="56" t="n">
        <f aca="false">MIN(AA180,MAX(0,N(Debts!$E$6)))</f>
        <v>0</v>
      </c>
      <c r="AL180" s="56" t="n">
        <f aca="false">MIN(AB180,MAX(0,N(Debts!$E$7)))</f>
        <v>0</v>
      </c>
      <c r="AM180" s="56" t="n">
        <f aca="false">MIN(AC180,MAX(0,N(Debts!$E$8)))</f>
        <v>0</v>
      </c>
      <c r="AN180" s="56" t="n">
        <f aca="false">MIN(AD180,MAX(0,N(Debts!$E$9)))</f>
        <v>0</v>
      </c>
      <c r="AO180" s="56" t="n">
        <f aca="false">MIN(AE180,MAX(0,N(Debts!$E$10)))</f>
        <v>0</v>
      </c>
      <c r="AP180" s="56" t="n">
        <f aca="false">MIN(AF180,MAX(0,N(Debts!$E$11)))</f>
        <v>0</v>
      </c>
      <c r="AQ180" s="56" t="n">
        <f aca="false">MIN(AG180,MAX(0,N(Debts!$E$12)))</f>
        <v>0</v>
      </c>
      <c r="AR180" s="56" t="n">
        <f aca="false">MIN(AH180,MAX(0,N(Debts!$E$13)))</f>
        <v>0</v>
      </c>
      <c r="AS180" s="56" t="n">
        <f aca="false">MIN(AI180,MAX(0,N(Debts!$E$14)))</f>
        <v>0</v>
      </c>
    </row>
    <row r="181" customFormat="false" ht="15" hidden="false" customHeight="false" outlineLevel="0" collapsed="false">
      <c r="A181" s="53" t="n">
        <v>177</v>
      </c>
      <c r="B181" s="54" t="n">
        <f aca="false">EDATE('Start Here'!$B$8,176)</f>
        <v>51683</v>
      </c>
      <c r="C181" s="42" t="n">
        <f aca="false">SUM(F181:O181)</f>
        <v>0</v>
      </c>
      <c r="D181" s="42" t="n">
        <f aca="false">ROUND(SUM($Z181:$AI181)-SUM(P180:Y180),2)</f>
        <v>0</v>
      </c>
      <c r="E181" s="55" t="n">
        <f aca="false">SUM(P181:Y181)</f>
        <v>0</v>
      </c>
      <c r="F181" s="42" t="n">
        <f aca="false">AJ181+MIN(Z181-AJ181,MAX(0,'Start Here'!$B$10-SUM($AJ181:$AS181)-SUMPRODUCT(($Z$3:$AI$3&lt;Z$3)*($Z181:$AI181-$AJ181:$AS181))))</f>
        <v>0</v>
      </c>
      <c r="G181" s="42" t="n">
        <f aca="false">AK181+MIN(AA181-AK181,MAX(0,'Start Here'!$B$10-SUM($AJ181:$AS181)-SUMPRODUCT(($Z$3:$AI$3&lt;AA$3)*($Z181:$AI181-$AJ181:$AS181))))</f>
        <v>0</v>
      </c>
      <c r="H181" s="42" t="n">
        <f aca="false">AL181+MIN(AB181-AL181,MAX(0,'Start Here'!$B$10-SUM($AJ181:$AS181)-SUMPRODUCT(($Z$3:$AI$3&lt;AB$3)*($Z181:$AI181-$AJ181:$AS181))))</f>
        <v>0</v>
      </c>
      <c r="I181" s="42" t="n">
        <f aca="false">AM181+MIN(AC181-AM181,MAX(0,'Start Here'!$B$10-SUM($AJ181:$AS181)-SUMPRODUCT(($Z$3:$AI$3&lt;AC$3)*($Z181:$AI181-$AJ181:$AS181))))</f>
        <v>0</v>
      </c>
      <c r="J181" s="42" t="n">
        <f aca="false">AN181+MIN(AD181-AN181,MAX(0,'Start Here'!$B$10-SUM($AJ181:$AS181)-SUMPRODUCT(($Z$3:$AI$3&lt;AD$3)*($Z181:$AI181-$AJ181:$AS181))))</f>
        <v>0</v>
      </c>
      <c r="K181" s="42" t="n">
        <f aca="false">AO181+MIN(AE181-AO181,MAX(0,'Start Here'!$B$10-SUM($AJ181:$AS181)-SUMPRODUCT(($Z$3:$AI$3&lt;AE$3)*($Z181:$AI181-$AJ181:$AS181))))</f>
        <v>0</v>
      </c>
      <c r="L181" s="42" t="n">
        <f aca="false">AP181+MIN(AF181-AP181,MAX(0,'Start Here'!$B$10-SUM($AJ181:$AS181)-SUMPRODUCT(($Z$3:$AI$3&lt;AF$3)*($Z181:$AI181-$AJ181:$AS181))))</f>
        <v>0</v>
      </c>
      <c r="M181" s="42" t="n">
        <f aca="false">AQ181+MIN(AG181-AQ181,MAX(0,'Start Here'!$B$10-SUM($AJ181:$AS181)-SUMPRODUCT(($Z$3:$AI$3&lt;AG$3)*($Z181:$AI181-$AJ181:$AS181))))</f>
        <v>0</v>
      </c>
      <c r="N181" s="42" t="n">
        <f aca="false">AR181+MIN(AH181-AR181,MAX(0,'Start Here'!$B$10-SUM($AJ181:$AS181)-SUMPRODUCT(($Z$3:$AI$3&lt;AH$3)*($Z181:$AI181-$AJ181:$AS181))))</f>
        <v>0</v>
      </c>
      <c r="O181" s="42" t="n">
        <f aca="false">AS181+MIN(AI181-AS181,MAX(0,'Start Here'!$B$10-SUM($AJ181:$AS181)-SUMPRODUCT(($Z$3:$AI$3&lt;AI$3)*($Z181:$AI181-$AJ181:$AS181))))</f>
        <v>0</v>
      </c>
      <c r="P181" s="42" t="n">
        <f aca="false">ROUND(Z181-F181,2)</f>
        <v>0</v>
      </c>
      <c r="Q181" s="42" t="n">
        <f aca="false">ROUND(AA181-G181,2)</f>
        <v>0</v>
      </c>
      <c r="R181" s="42" t="n">
        <f aca="false">ROUND(AB181-H181,2)</f>
        <v>0</v>
      </c>
      <c r="S181" s="42" t="n">
        <f aca="false">ROUND(AC181-I181,2)</f>
        <v>0</v>
      </c>
      <c r="T181" s="42" t="n">
        <f aca="false">ROUND(AD181-J181,2)</f>
        <v>0</v>
      </c>
      <c r="U181" s="42" t="n">
        <f aca="false">ROUND(AE181-K181,2)</f>
        <v>0</v>
      </c>
      <c r="V181" s="42" t="n">
        <f aca="false">ROUND(AF181-L181,2)</f>
        <v>0</v>
      </c>
      <c r="W181" s="42" t="n">
        <f aca="false">ROUND(AG181-M181,2)</f>
        <v>0</v>
      </c>
      <c r="X181" s="42" t="n">
        <f aca="false">ROUND(AH181-N181,2)</f>
        <v>0</v>
      </c>
      <c r="Y181" s="42" t="n">
        <f aca="false">ROUND(AI181-O181,2)</f>
        <v>0</v>
      </c>
      <c r="Z181" s="56" t="n">
        <f aca="false">ROUND(P180*(1+N(Debts!$D$5)/12),2)</f>
        <v>0</v>
      </c>
      <c r="AA181" s="56" t="n">
        <f aca="false">ROUND(Q180*(1+N(Debts!$D$6)/12),2)</f>
        <v>0</v>
      </c>
      <c r="AB181" s="56" t="n">
        <f aca="false">ROUND(R180*(1+N(Debts!$D$7)/12),2)</f>
        <v>0</v>
      </c>
      <c r="AC181" s="56" t="n">
        <f aca="false">ROUND(S180*(1+N(Debts!$D$8)/12),2)</f>
        <v>0</v>
      </c>
      <c r="AD181" s="56" t="n">
        <f aca="false">ROUND(T180*(1+N(Debts!$D$9)/12),2)</f>
        <v>0</v>
      </c>
      <c r="AE181" s="56" t="n">
        <f aca="false">ROUND(U180*(1+N(Debts!$D$10)/12),2)</f>
        <v>0</v>
      </c>
      <c r="AF181" s="56" t="n">
        <f aca="false">ROUND(V180*(1+N(Debts!$D$11)/12),2)</f>
        <v>0</v>
      </c>
      <c r="AG181" s="56" t="n">
        <f aca="false">ROUND(W180*(1+N(Debts!$D$12)/12),2)</f>
        <v>0</v>
      </c>
      <c r="AH181" s="56" t="n">
        <f aca="false">ROUND(X180*(1+N(Debts!$D$13)/12),2)</f>
        <v>0</v>
      </c>
      <c r="AI181" s="56" t="n">
        <f aca="false">ROUND(Y180*(1+N(Debts!$D$14)/12),2)</f>
        <v>0</v>
      </c>
      <c r="AJ181" s="56" t="n">
        <f aca="false">MIN(Z181,MAX(0,N(Debts!$E$5)))</f>
        <v>0</v>
      </c>
      <c r="AK181" s="56" t="n">
        <f aca="false">MIN(AA181,MAX(0,N(Debts!$E$6)))</f>
        <v>0</v>
      </c>
      <c r="AL181" s="56" t="n">
        <f aca="false">MIN(AB181,MAX(0,N(Debts!$E$7)))</f>
        <v>0</v>
      </c>
      <c r="AM181" s="56" t="n">
        <f aca="false">MIN(AC181,MAX(0,N(Debts!$E$8)))</f>
        <v>0</v>
      </c>
      <c r="AN181" s="56" t="n">
        <f aca="false">MIN(AD181,MAX(0,N(Debts!$E$9)))</f>
        <v>0</v>
      </c>
      <c r="AO181" s="56" t="n">
        <f aca="false">MIN(AE181,MAX(0,N(Debts!$E$10)))</f>
        <v>0</v>
      </c>
      <c r="AP181" s="56" t="n">
        <f aca="false">MIN(AF181,MAX(0,N(Debts!$E$11)))</f>
        <v>0</v>
      </c>
      <c r="AQ181" s="56" t="n">
        <f aca="false">MIN(AG181,MAX(0,N(Debts!$E$12)))</f>
        <v>0</v>
      </c>
      <c r="AR181" s="56" t="n">
        <f aca="false">MIN(AH181,MAX(0,N(Debts!$E$13)))</f>
        <v>0</v>
      </c>
      <c r="AS181" s="56" t="n">
        <f aca="false">MIN(AI181,MAX(0,N(Debts!$E$14)))</f>
        <v>0</v>
      </c>
    </row>
    <row r="182" customFormat="false" ht="15" hidden="false" customHeight="false" outlineLevel="0" collapsed="false">
      <c r="A182" s="53" t="n">
        <v>178</v>
      </c>
      <c r="B182" s="54" t="n">
        <f aca="false">EDATE('Start Here'!$B$8,177)</f>
        <v>51714</v>
      </c>
      <c r="C182" s="42" t="n">
        <f aca="false">SUM(F182:O182)</f>
        <v>0</v>
      </c>
      <c r="D182" s="42" t="n">
        <f aca="false">ROUND(SUM($Z182:$AI182)-SUM(P181:Y181),2)</f>
        <v>0</v>
      </c>
      <c r="E182" s="55" t="n">
        <f aca="false">SUM(P182:Y182)</f>
        <v>0</v>
      </c>
      <c r="F182" s="42" t="n">
        <f aca="false">AJ182+MIN(Z182-AJ182,MAX(0,'Start Here'!$B$10-SUM($AJ182:$AS182)-SUMPRODUCT(($Z$3:$AI$3&lt;Z$3)*($Z182:$AI182-$AJ182:$AS182))))</f>
        <v>0</v>
      </c>
      <c r="G182" s="42" t="n">
        <f aca="false">AK182+MIN(AA182-AK182,MAX(0,'Start Here'!$B$10-SUM($AJ182:$AS182)-SUMPRODUCT(($Z$3:$AI$3&lt;AA$3)*($Z182:$AI182-$AJ182:$AS182))))</f>
        <v>0</v>
      </c>
      <c r="H182" s="42" t="n">
        <f aca="false">AL182+MIN(AB182-AL182,MAX(0,'Start Here'!$B$10-SUM($AJ182:$AS182)-SUMPRODUCT(($Z$3:$AI$3&lt;AB$3)*($Z182:$AI182-$AJ182:$AS182))))</f>
        <v>0</v>
      </c>
      <c r="I182" s="42" t="n">
        <f aca="false">AM182+MIN(AC182-AM182,MAX(0,'Start Here'!$B$10-SUM($AJ182:$AS182)-SUMPRODUCT(($Z$3:$AI$3&lt;AC$3)*($Z182:$AI182-$AJ182:$AS182))))</f>
        <v>0</v>
      </c>
      <c r="J182" s="42" t="n">
        <f aca="false">AN182+MIN(AD182-AN182,MAX(0,'Start Here'!$B$10-SUM($AJ182:$AS182)-SUMPRODUCT(($Z$3:$AI$3&lt;AD$3)*($Z182:$AI182-$AJ182:$AS182))))</f>
        <v>0</v>
      </c>
      <c r="K182" s="42" t="n">
        <f aca="false">AO182+MIN(AE182-AO182,MAX(0,'Start Here'!$B$10-SUM($AJ182:$AS182)-SUMPRODUCT(($Z$3:$AI$3&lt;AE$3)*($Z182:$AI182-$AJ182:$AS182))))</f>
        <v>0</v>
      </c>
      <c r="L182" s="42" t="n">
        <f aca="false">AP182+MIN(AF182-AP182,MAX(0,'Start Here'!$B$10-SUM($AJ182:$AS182)-SUMPRODUCT(($Z$3:$AI$3&lt;AF$3)*($Z182:$AI182-$AJ182:$AS182))))</f>
        <v>0</v>
      </c>
      <c r="M182" s="42" t="n">
        <f aca="false">AQ182+MIN(AG182-AQ182,MAX(0,'Start Here'!$B$10-SUM($AJ182:$AS182)-SUMPRODUCT(($Z$3:$AI$3&lt;AG$3)*($Z182:$AI182-$AJ182:$AS182))))</f>
        <v>0</v>
      </c>
      <c r="N182" s="42" t="n">
        <f aca="false">AR182+MIN(AH182-AR182,MAX(0,'Start Here'!$B$10-SUM($AJ182:$AS182)-SUMPRODUCT(($Z$3:$AI$3&lt;AH$3)*($Z182:$AI182-$AJ182:$AS182))))</f>
        <v>0</v>
      </c>
      <c r="O182" s="42" t="n">
        <f aca="false">AS182+MIN(AI182-AS182,MAX(0,'Start Here'!$B$10-SUM($AJ182:$AS182)-SUMPRODUCT(($Z$3:$AI$3&lt;AI$3)*($Z182:$AI182-$AJ182:$AS182))))</f>
        <v>0</v>
      </c>
      <c r="P182" s="42" t="n">
        <f aca="false">ROUND(Z182-F182,2)</f>
        <v>0</v>
      </c>
      <c r="Q182" s="42" t="n">
        <f aca="false">ROUND(AA182-G182,2)</f>
        <v>0</v>
      </c>
      <c r="R182" s="42" t="n">
        <f aca="false">ROUND(AB182-H182,2)</f>
        <v>0</v>
      </c>
      <c r="S182" s="42" t="n">
        <f aca="false">ROUND(AC182-I182,2)</f>
        <v>0</v>
      </c>
      <c r="T182" s="42" t="n">
        <f aca="false">ROUND(AD182-J182,2)</f>
        <v>0</v>
      </c>
      <c r="U182" s="42" t="n">
        <f aca="false">ROUND(AE182-K182,2)</f>
        <v>0</v>
      </c>
      <c r="V182" s="42" t="n">
        <f aca="false">ROUND(AF182-L182,2)</f>
        <v>0</v>
      </c>
      <c r="W182" s="42" t="n">
        <f aca="false">ROUND(AG182-M182,2)</f>
        <v>0</v>
      </c>
      <c r="X182" s="42" t="n">
        <f aca="false">ROUND(AH182-N182,2)</f>
        <v>0</v>
      </c>
      <c r="Y182" s="42" t="n">
        <f aca="false">ROUND(AI182-O182,2)</f>
        <v>0</v>
      </c>
      <c r="Z182" s="56" t="n">
        <f aca="false">ROUND(P181*(1+N(Debts!$D$5)/12),2)</f>
        <v>0</v>
      </c>
      <c r="AA182" s="56" t="n">
        <f aca="false">ROUND(Q181*(1+N(Debts!$D$6)/12),2)</f>
        <v>0</v>
      </c>
      <c r="AB182" s="56" t="n">
        <f aca="false">ROUND(R181*(1+N(Debts!$D$7)/12),2)</f>
        <v>0</v>
      </c>
      <c r="AC182" s="56" t="n">
        <f aca="false">ROUND(S181*(1+N(Debts!$D$8)/12),2)</f>
        <v>0</v>
      </c>
      <c r="AD182" s="56" t="n">
        <f aca="false">ROUND(T181*(1+N(Debts!$D$9)/12),2)</f>
        <v>0</v>
      </c>
      <c r="AE182" s="56" t="n">
        <f aca="false">ROUND(U181*(1+N(Debts!$D$10)/12),2)</f>
        <v>0</v>
      </c>
      <c r="AF182" s="56" t="n">
        <f aca="false">ROUND(V181*(1+N(Debts!$D$11)/12),2)</f>
        <v>0</v>
      </c>
      <c r="AG182" s="56" t="n">
        <f aca="false">ROUND(W181*(1+N(Debts!$D$12)/12),2)</f>
        <v>0</v>
      </c>
      <c r="AH182" s="56" t="n">
        <f aca="false">ROUND(X181*(1+N(Debts!$D$13)/12),2)</f>
        <v>0</v>
      </c>
      <c r="AI182" s="56" t="n">
        <f aca="false">ROUND(Y181*(1+N(Debts!$D$14)/12),2)</f>
        <v>0</v>
      </c>
      <c r="AJ182" s="56" t="n">
        <f aca="false">MIN(Z182,MAX(0,N(Debts!$E$5)))</f>
        <v>0</v>
      </c>
      <c r="AK182" s="56" t="n">
        <f aca="false">MIN(AA182,MAX(0,N(Debts!$E$6)))</f>
        <v>0</v>
      </c>
      <c r="AL182" s="56" t="n">
        <f aca="false">MIN(AB182,MAX(0,N(Debts!$E$7)))</f>
        <v>0</v>
      </c>
      <c r="AM182" s="56" t="n">
        <f aca="false">MIN(AC182,MAX(0,N(Debts!$E$8)))</f>
        <v>0</v>
      </c>
      <c r="AN182" s="56" t="n">
        <f aca="false">MIN(AD182,MAX(0,N(Debts!$E$9)))</f>
        <v>0</v>
      </c>
      <c r="AO182" s="56" t="n">
        <f aca="false">MIN(AE182,MAX(0,N(Debts!$E$10)))</f>
        <v>0</v>
      </c>
      <c r="AP182" s="56" t="n">
        <f aca="false">MIN(AF182,MAX(0,N(Debts!$E$11)))</f>
        <v>0</v>
      </c>
      <c r="AQ182" s="56" t="n">
        <f aca="false">MIN(AG182,MAX(0,N(Debts!$E$12)))</f>
        <v>0</v>
      </c>
      <c r="AR182" s="56" t="n">
        <f aca="false">MIN(AH182,MAX(0,N(Debts!$E$13)))</f>
        <v>0</v>
      </c>
      <c r="AS182" s="56" t="n">
        <f aca="false">MIN(AI182,MAX(0,N(Debts!$E$14)))</f>
        <v>0</v>
      </c>
    </row>
    <row r="183" customFormat="false" ht="15" hidden="false" customHeight="false" outlineLevel="0" collapsed="false">
      <c r="A183" s="53" t="n">
        <v>179</v>
      </c>
      <c r="B183" s="54" t="n">
        <f aca="false">EDATE('Start Here'!$B$8,178)</f>
        <v>51745</v>
      </c>
      <c r="C183" s="42" t="n">
        <f aca="false">SUM(F183:O183)</f>
        <v>0</v>
      </c>
      <c r="D183" s="42" t="n">
        <f aca="false">ROUND(SUM($Z183:$AI183)-SUM(P182:Y182),2)</f>
        <v>0</v>
      </c>
      <c r="E183" s="55" t="n">
        <f aca="false">SUM(P183:Y183)</f>
        <v>0</v>
      </c>
      <c r="F183" s="42" t="n">
        <f aca="false">AJ183+MIN(Z183-AJ183,MAX(0,'Start Here'!$B$10-SUM($AJ183:$AS183)-SUMPRODUCT(($Z$3:$AI$3&lt;Z$3)*($Z183:$AI183-$AJ183:$AS183))))</f>
        <v>0</v>
      </c>
      <c r="G183" s="42" t="n">
        <f aca="false">AK183+MIN(AA183-AK183,MAX(0,'Start Here'!$B$10-SUM($AJ183:$AS183)-SUMPRODUCT(($Z$3:$AI$3&lt;AA$3)*($Z183:$AI183-$AJ183:$AS183))))</f>
        <v>0</v>
      </c>
      <c r="H183" s="42" t="n">
        <f aca="false">AL183+MIN(AB183-AL183,MAX(0,'Start Here'!$B$10-SUM($AJ183:$AS183)-SUMPRODUCT(($Z$3:$AI$3&lt;AB$3)*($Z183:$AI183-$AJ183:$AS183))))</f>
        <v>0</v>
      </c>
      <c r="I183" s="42" t="n">
        <f aca="false">AM183+MIN(AC183-AM183,MAX(0,'Start Here'!$B$10-SUM($AJ183:$AS183)-SUMPRODUCT(($Z$3:$AI$3&lt;AC$3)*($Z183:$AI183-$AJ183:$AS183))))</f>
        <v>0</v>
      </c>
      <c r="J183" s="42" t="n">
        <f aca="false">AN183+MIN(AD183-AN183,MAX(0,'Start Here'!$B$10-SUM($AJ183:$AS183)-SUMPRODUCT(($Z$3:$AI$3&lt;AD$3)*($Z183:$AI183-$AJ183:$AS183))))</f>
        <v>0</v>
      </c>
      <c r="K183" s="42" t="n">
        <f aca="false">AO183+MIN(AE183-AO183,MAX(0,'Start Here'!$B$10-SUM($AJ183:$AS183)-SUMPRODUCT(($Z$3:$AI$3&lt;AE$3)*($Z183:$AI183-$AJ183:$AS183))))</f>
        <v>0</v>
      </c>
      <c r="L183" s="42" t="n">
        <f aca="false">AP183+MIN(AF183-AP183,MAX(0,'Start Here'!$B$10-SUM($AJ183:$AS183)-SUMPRODUCT(($Z$3:$AI$3&lt;AF$3)*($Z183:$AI183-$AJ183:$AS183))))</f>
        <v>0</v>
      </c>
      <c r="M183" s="42" t="n">
        <f aca="false">AQ183+MIN(AG183-AQ183,MAX(0,'Start Here'!$B$10-SUM($AJ183:$AS183)-SUMPRODUCT(($Z$3:$AI$3&lt;AG$3)*($Z183:$AI183-$AJ183:$AS183))))</f>
        <v>0</v>
      </c>
      <c r="N183" s="42" t="n">
        <f aca="false">AR183+MIN(AH183-AR183,MAX(0,'Start Here'!$B$10-SUM($AJ183:$AS183)-SUMPRODUCT(($Z$3:$AI$3&lt;AH$3)*($Z183:$AI183-$AJ183:$AS183))))</f>
        <v>0</v>
      </c>
      <c r="O183" s="42" t="n">
        <f aca="false">AS183+MIN(AI183-AS183,MAX(0,'Start Here'!$B$10-SUM($AJ183:$AS183)-SUMPRODUCT(($Z$3:$AI$3&lt;AI$3)*($Z183:$AI183-$AJ183:$AS183))))</f>
        <v>0</v>
      </c>
      <c r="P183" s="42" t="n">
        <f aca="false">ROUND(Z183-F183,2)</f>
        <v>0</v>
      </c>
      <c r="Q183" s="42" t="n">
        <f aca="false">ROUND(AA183-G183,2)</f>
        <v>0</v>
      </c>
      <c r="R183" s="42" t="n">
        <f aca="false">ROUND(AB183-H183,2)</f>
        <v>0</v>
      </c>
      <c r="S183" s="42" t="n">
        <f aca="false">ROUND(AC183-I183,2)</f>
        <v>0</v>
      </c>
      <c r="T183" s="42" t="n">
        <f aca="false">ROUND(AD183-J183,2)</f>
        <v>0</v>
      </c>
      <c r="U183" s="42" t="n">
        <f aca="false">ROUND(AE183-K183,2)</f>
        <v>0</v>
      </c>
      <c r="V183" s="42" t="n">
        <f aca="false">ROUND(AF183-L183,2)</f>
        <v>0</v>
      </c>
      <c r="W183" s="42" t="n">
        <f aca="false">ROUND(AG183-M183,2)</f>
        <v>0</v>
      </c>
      <c r="X183" s="42" t="n">
        <f aca="false">ROUND(AH183-N183,2)</f>
        <v>0</v>
      </c>
      <c r="Y183" s="42" t="n">
        <f aca="false">ROUND(AI183-O183,2)</f>
        <v>0</v>
      </c>
      <c r="Z183" s="56" t="n">
        <f aca="false">ROUND(P182*(1+N(Debts!$D$5)/12),2)</f>
        <v>0</v>
      </c>
      <c r="AA183" s="56" t="n">
        <f aca="false">ROUND(Q182*(1+N(Debts!$D$6)/12),2)</f>
        <v>0</v>
      </c>
      <c r="AB183" s="56" t="n">
        <f aca="false">ROUND(R182*(1+N(Debts!$D$7)/12),2)</f>
        <v>0</v>
      </c>
      <c r="AC183" s="56" t="n">
        <f aca="false">ROUND(S182*(1+N(Debts!$D$8)/12),2)</f>
        <v>0</v>
      </c>
      <c r="AD183" s="56" t="n">
        <f aca="false">ROUND(T182*(1+N(Debts!$D$9)/12),2)</f>
        <v>0</v>
      </c>
      <c r="AE183" s="56" t="n">
        <f aca="false">ROUND(U182*(1+N(Debts!$D$10)/12),2)</f>
        <v>0</v>
      </c>
      <c r="AF183" s="56" t="n">
        <f aca="false">ROUND(V182*(1+N(Debts!$D$11)/12),2)</f>
        <v>0</v>
      </c>
      <c r="AG183" s="56" t="n">
        <f aca="false">ROUND(W182*(1+N(Debts!$D$12)/12),2)</f>
        <v>0</v>
      </c>
      <c r="AH183" s="56" t="n">
        <f aca="false">ROUND(X182*(1+N(Debts!$D$13)/12),2)</f>
        <v>0</v>
      </c>
      <c r="AI183" s="56" t="n">
        <f aca="false">ROUND(Y182*(1+N(Debts!$D$14)/12),2)</f>
        <v>0</v>
      </c>
      <c r="AJ183" s="56" t="n">
        <f aca="false">MIN(Z183,MAX(0,N(Debts!$E$5)))</f>
        <v>0</v>
      </c>
      <c r="AK183" s="56" t="n">
        <f aca="false">MIN(AA183,MAX(0,N(Debts!$E$6)))</f>
        <v>0</v>
      </c>
      <c r="AL183" s="56" t="n">
        <f aca="false">MIN(AB183,MAX(0,N(Debts!$E$7)))</f>
        <v>0</v>
      </c>
      <c r="AM183" s="56" t="n">
        <f aca="false">MIN(AC183,MAX(0,N(Debts!$E$8)))</f>
        <v>0</v>
      </c>
      <c r="AN183" s="56" t="n">
        <f aca="false">MIN(AD183,MAX(0,N(Debts!$E$9)))</f>
        <v>0</v>
      </c>
      <c r="AO183" s="56" t="n">
        <f aca="false">MIN(AE183,MAX(0,N(Debts!$E$10)))</f>
        <v>0</v>
      </c>
      <c r="AP183" s="56" t="n">
        <f aca="false">MIN(AF183,MAX(0,N(Debts!$E$11)))</f>
        <v>0</v>
      </c>
      <c r="AQ183" s="56" t="n">
        <f aca="false">MIN(AG183,MAX(0,N(Debts!$E$12)))</f>
        <v>0</v>
      </c>
      <c r="AR183" s="56" t="n">
        <f aca="false">MIN(AH183,MAX(0,N(Debts!$E$13)))</f>
        <v>0</v>
      </c>
      <c r="AS183" s="56" t="n">
        <f aca="false">MIN(AI183,MAX(0,N(Debts!$E$14)))</f>
        <v>0</v>
      </c>
    </row>
    <row r="184" customFormat="false" ht="15" hidden="false" customHeight="false" outlineLevel="0" collapsed="false">
      <c r="A184" s="53" t="n">
        <v>180</v>
      </c>
      <c r="B184" s="54" t="n">
        <f aca="false">EDATE('Start Here'!$B$8,179)</f>
        <v>51775</v>
      </c>
      <c r="C184" s="42" t="n">
        <f aca="false">SUM(F184:O184)</f>
        <v>0</v>
      </c>
      <c r="D184" s="42" t="n">
        <f aca="false">ROUND(SUM($Z184:$AI184)-SUM(P183:Y183),2)</f>
        <v>0</v>
      </c>
      <c r="E184" s="55" t="n">
        <f aca="false">SUM(P184:Y184)</f>
        <v>0</v>
      </c>
      <c r="F184" s="42" t="n">
        <f aca="false">AJ184+MIN(Z184-AJ184,MAX(0,'Start Here'!$B$10-SUM($AJ184:$AS184)-SUMPRODUCT(($Z$3:$AI$3&lt;Z$3)*($Z184:$AI184-$AJ184:$AS184))))</f>
        <v>0</v>
      </c>
      <c r="G184" s="42" t="n">
        <f aca="false">AK184+MIN(AA184-AK184,MAX(0,'Start Here'!$B$10-SUM($AJ184:$AS184)-SUMPRODUCT(($Z$3:$AI$3&lt;AA$3)*($Z184:$AI184-$AJ184:$AS184))))</f>
        <v>0</v>
      </c>
      <c r="H184" s="42" t="n">
        <f aca="false">AL184+MIN(AB184-AL184,MAX(0,'Start Here'!$B$10-SUM($AJ184:$AS184)-SUMPRODUCT(($Z$3:$AI$3&lt;AB$3)*($Z184:$AI184-$AJ184:$AS184))))</f>
        <v>0</v>
      </c>
      <c r="I184" s="42" t="n">
        <f aca="false">AM184+MIN(AC184-AM184,MAX(0,'Start Here'!$B$10-SUM($AJ184:$AS184)-SUMPRODUCT(($Z$3:$AI$3&lt;AC$3)*($Z184:$AI184-$AJ184:$AS184))))</f>
        <v>0</v>
      </c>
      <c r="J184" s="42" t="n">
        <f aca="false">AN184+MIN(AD184-AN184,MAX(0,'Start Here'!$B$10-SUM($AJ184:$AS184)-SUMPRODUCT(($Z$3:$AI$3&lt;AD$3)*($Z184:$AI184-$AJ184:$AS184))))</f>
        <v>0</v>
      </c>
      <c r="K184" s="42" t="n">
        <f aca="false">AO184+MIN(AE184-AO184,MAX(0,'Start Here'!$B$10-SUM($AJ184:$AS184)-SUMPRODUCT(($Z$3:$AI$3&lt;AE$3)*($Z184:$AI184-$AJ184:$AS184))))</f>
        <v>0</v>
      </c>
      <c r="L184" s="42" t="n">
        <f aca="false">AP184+MIN(AF184-AP184,MAX(0,'Start Here'!$B$10-SUM($AJ184:$AS184)-SUMPRODUCT(($Z$3:$AI$3&lt;AF$3)*($Z184:$AI184-$AJ184:$AS184))))</f>
        <v>0</v>
      </c>
      <c r="M184" s="42" t="n">
        <f aca="false">AQ184+MIN(AG184-AQ184,MAX(0,'Start Here'!$B$10-SUM($AJ184:$AS184)-SUMPRODUCT(($Z$3:$AI$3&lt;AG$3)*($Z184:$AI184-$AJ184:$AS184))))</f>
        <v>0</v>
      </c>
      <c r="N184" s="42" t="n">
        <f aca="false">AR184+MIN(AH184-AR184,MAX(0,'Start Here'!$B$10-SUM($AJ184:$AS184)-SUMPRODUCT(($Z$3:$AI$3&lt;AH$3)*($Z184:$AI184-$AJ184:$AS184))))</f>
        <v>0</v>
      </c>
      <c r="O184" s="42" t="n">
        <f aca="false">AS184+MIN(AI184-AS184,MAX(0,'Start Here'!$B$10-SUM($AJ184:$AS184)-SUMPRODUCT(($Z$3:$AI$3&lt;AI$3)*($Z184:$AI184-$AJ184:$AS184))))</f>
        <v>0</v>
      </c>
      <c r="P184" s="42" t="n">
        <f aca="false">ROUND(Z184-F184,2)</f>
        <v>0</v>
      </c>
      <c r="Q184" s="42" t="n">
        <f aca="false">ROUND(AA184-G184,2)</f>
        <v>0</v>
      </c>
      <c r="R184" s="42" t="n">
        <f aca="false">ROUND(AB184-H184,2)</f>
        <v>0</v>
      </c>
      <c r="S184" s="42" t="n">
        <f aca="false">ROUND(AC184-I184,2)</f>
        <v>0</v>
      </c>
      <c r="T184" s="42" t="n">
        <f aca="false">ROUND(AD184-J184,2)</f>
        <v>0</v>
      </c>
      <c r="U184" s="42" t="n">
        <f aca="false">ROUND(AE184-K184,2)</f>
        <v>0</v>
      </c>
      <c r="V184" s="42" t="n">
        <f aca="false">ROUND(AF184-L184,2)</f>
        <v>0</v>
      </c>
      <c r="W184" s="42" t="n">
        <f aca="false">ROUND(AG184-M184,2)</f>
        <v>0</v>
      </c>
      <c r="X184" s="42" t="n">
        <f aca="false">ROUND(AH184-N184,2)</f>
        <v>0</v>
      </c>
      <c r="Y184" s="42" t="n">
        <f aca="false">ROUND(AI184-O184,2)</f>
        <v>0</v>
      </c>
      <c r="Z184" s="56" t="n">
        <f aca="false">ROUND(P183*(1+N(Debts!$D$5)/12),2)</f>
        <v>0</v>
      </c>
      <c r="AA184" s="56" t="n">
        <f aca="false">ROUND(Q183*(1+N(Debts!$D$6)/12),2)</f>
        <v>0</v>
      </c>
      <c r="AB184" s="56" t="n">
        <f aca="false">ROUND(R183*(1+N(Debts!$D$7)/12),2)</f>
        <v>0</v>
      </c>
      <c r="AC184" s="56" t="n">
        <f aca="false">ROUND(S183*(1+N(Debts!$D$8)/12),2)</f>
        <v>0</v>
      </c>
      <c r="AD184" s="56" t="n">
        <f aca="false">ROUND(T183*(1+N(Debts!$D$9)/12),2)</f>
        <v>0</v>
      </c>
      <c r="AE184" s="56" t="n">
        <f aca="false">ROUND(U183*(1+N(Debts!$D$10)/12),2)</f>
        <v>0</v>
      </c>
      <c r="AF184" s="56" t="n">
        <f aca="false">ROUND(V183*(1+N(Debts!$D$11)/12),2)</f>
        <v>0</v>
      </c>
      <c r="AG184" s="56" t="n">
        <f aca="false">ROUND(W183*(1+N(Debts!$D$12)/12),2)</f>
        <v>0</v>
      </c>
      <c r="AH184" s="56" t="n">
        <f aca="false">ROUND(X183*(1+N(Debts!$D$13)/12),2)</f>
        <v>0</v>
      </c>
      <c r="AI184" s="56" t="n">
        <f aca="false">ROUND(Y183*(1+N(Debts!$D$14)/12),2)</f>
        <v>0</v>
      </c>
      <c r="AJ184" s="56" t="n">
        <f aca="false">MIN(Z184,MAX(0,N(Debts!$E$5)))</f>
        <v>0</v>
      </c>
      <c r="AK184" s="56" t="n">
        <f aca="false">MIN(AA184,MAX(0,N(Debts!$E$6)))</f>
        <v>0</v>
      </c>
      <c r="AL184" s="56" t="n">
        <f aca="false">MIN(AB184,MAX(0,N(Debts!$E$7)))</f>
        <v>0</v>
      </c>
      <c r="AM184" s="56" t="n">
        <f aca="false">MIN(AC184,MAX(0,N(Debts!$E$8)))</f>
        <v>0</v>
      </c>
      <c r="AN184" s="56" t="n">
        <f aca="false">MIN(AD184,MAX(0,N(Debts!$E$9)))</f>
        <v>0</v>
      </c>
      <c r="AO184" s="56" t="n">
        <f aca="false">MIN(AE184,MAX(0,N(Debts!$E$10)))</f>
        <v>0</v>
      </c>
      <c r="AP184" s="56" t="n">
        <f aca="false">MIN(AF184,MAX(0,N(Debts!$E$11)))</f>
        <v>0</v>
      </c>
      <c r="AQ184" s="56" t="n">
        <f aca="false">MIN(AG184,MAX(0,N(Debts!$E$12)))</f>
        <v>0</v>
      </c>
      <c r="AR184" s="56" t="n">
        <f aca="false">MIN(AH184,MAX(0,N(Debts!$E$13)))</f>
        <v>0</v>
      </c>
      <c r="AS184" s="56" t="n">
        <f aca="false">MIN(AI184,MAX(0,N(Debts!$E$14)))</f>
        <v>0</v>
      </c>
    </row>
    <row r="185" customFormat="false" ht="15" hidden="false" customHeight="false" outlineLevel="0" collapsed="false">
      <c r="A185" s="53" t="n">
        <v>181</v>
      </c>
      <c r="B185" s="54" t="n">
        <f aca="false">EDATE('Start Here'!$B$8,180)</f>
        <v>51806</v>
      </c>
      <c r="C185" s="42" t="n">
        <f aca="false">SUM(F185:O185)</f>
        <v>0</v>
      </c>
      <c r="D185" s="42" t="n">
        <f aca="false">ROUND(SUM($Z185:$AI185)-SUM(P184:Y184),2)</f>
        <v>0</v>
      </c>
      <c r="E185" s="55" t="n">
        <f aca="false">SUM(P185:Y185)</f>
        <v>0</v>
      </c>
      <c r="F185" s="42" t="n">
        <f aca="false">AJ185+MIN(Z185-AJ185,MAX(0,'Start Here'!$B$10-SUM($AJ185:$AS185)-SUMPRODUCT(($Z$3:$AI$3&lt;Z$3)*($Z185:$AI185-$AJ185:$AS185))))</f>
        <v>0</v>
      </c>
      <c r="G185" s="42" t="n">
        <f aca="false">AK185+MIN(AA185-AK185,MAX(0,'Start Here'!$B$10-SUM($AJ185:$AS185)-SUMPRODUCT(($Z$3:$AI$3&lt;AA$3)*($Z185:$AI185-$AJ185:$AS185))))</f>
        <v>0</v>
      </c>
      <c r="H185" s="42" t="n">
        <f aca="false">AL185+MIN(AB185-AL185,MAX(0,'Start Here'!$B$10-SUM($AJ185:$AS185)-SUMPRODUCT(($Z$3:$AI$3&lt;AB$3)*($Z185:$AI185-$AJ185:$AS185))))</f>
        <v>0</v>
      </c>
      <c r="I185" s="42" t="n">
        <f aca="false">AM185+MIN(AC185-AM185,MAX(0,'Start Here'!$B$10-SUM($AJ185:$AS185)-SUMPRODUCT(($Z$3:$AI$3&lt;AC$3)*($Z185:$AI185-$AJ185:$AS185))))</f>
        <v>0</v>
      </c>
      <c r="J185" s="42" t="n">
        <f aca="false">AN185+MIN(AD185-AN185,MAX(0,'Start Here'!$B$10-SUM($AJ185:$AS185)-SUMPRODUCT(($Z$3:$AI$3&lt;AD$3)*($Z185:$AI185-$AJ185:$AS185))))</f>
        <v>0</v>
      </c>
      <c r="K185" s="42" t="n">
        <f aca="false">AO185+MIN(AE185-AO185,MAX(0,'Start Here'!$B$10-SUM($AJ185:$AS185)-SUMPRODUCT(($Z$3:$AI$3&lt;AE$3)*($Z185:$AI185-$AJ185:$AS185))))</f>
        <v>0</v>
      </c>
      <c r="L185" s="42" t="n">
        <f aca="false">AP185+MIN(AF185-AP185,MAX(0,'Start Here'!$B$10-SUM($AJ185:$AS185)-SUMPRODUCT(($Z$3:$AI$3&lt;AF$3)*($Z185:$AI185-$AJ185:$AS185))))</f>
        <v>0</v>
      </c>
      <c r="M185" s="42" t="n">
        <f aca="false">AQ185+MIN(AG185-AQ185,MAX(0,'Start Here'!$B$10-SUM($AJ185:$AS185)-SUMPRODUCT(($Z$3:$AI$3&lt;AG$3)*($Z185:$AI185-$AJ185:$AS185))))</f>
        <v>0</v>
      </c>
      <c r="N185" s="42" t="n">
        <f aca="false">AR185+MIN(AH185-AR185,MAX(0,'Start Here'!$B$10-SUM($AJ185:$AS185)-SUMPRODUCT(($Z$3:$AI$3&lt;AH$3)*($Z185:$AI185-$AJ185:$AS185))))</f>
        <v>0</v>
      </c>
      <c r="O185" s="42" t="n">
        <f aca="false">AS185+MIN(AI185-AS185,MAX(0,'Start Here'!$B$10-SUM($AJ185:$AS185)-SUMPRODUCT(($Z$3:$AI$3&lt;AI$3)*($Z185:$AI185-$AJ185:$AS185))))</f>
        <v>0</v>
      </c>
      <c r="P185" s="42" t="n">
        <f aca="false">ROUND(Z185-F185,2)</f>
        <v>0</v>
      </c>
      <c r="Q185" s="42" t="n">
        <f aca="false">ROUND(AA185-G185,2)</f>
        <v>0</v>
      </c>
      <c r="R185" s="42" t="n">
        <f aca="false">ROUND(AB185-H185,2)</f>
        <v>0</v>
      </c>
      <c r="S185" s="42" t="n">
        <f aca="false">ROUND(AC185-I185,2)</f>
        <v>0</v>
      </c>
      <c r="T185" s="42" t="n">
        <f aca="false">ROUND(AD185-J185,2)</f>
        <v>0</v>
      </c>
      <c r="U185" s="42" t="n">
        <f aca="false">ROUND(AE185-K185,2)</f>
        <v>0</v>
      </c>
      <c r="V185" s="42" t="n">
        <f aca="false">ROUND(AF185-L185,2)</f>
        <v>0</v>
      </c>
      <c r="W185" s="42" t="n">
        <f aca="false">ROUND(AG185-M185,2)</f>
        <v>0</v>
      </c>
      <c r="X185" s="42" t="n">
        <f aca="false">ROUND(AH185-N185,2)</f>
        <v>0</v>
      </c>
      <c r="Y185" s="42" t="n">
        <f aca="false">ROUND(AI185-O185,2)</f>
        <v>0</v>
      </c>
      <c r="Z185" s="56" t="n">
        <f aca="false">ROUND(P184*(1+N(Debts!$D$5)/12),2)</f>
        <v>0</v>
      </c>
      <c r="AA185" s="56" t="n">
        <f aca="false">ROUND(Q184*(1+N(Debts!$D$6)/12),2)</f>
        <v>0</v>
      </c>
      <c r="AB185" s="56" t="n">
        <f aca="false">ROUND(R184*(1+N(Debts!$D$7)/12),2)</f>
        <v>0</v>
      </c>
      <c r="AC185" s="56" t="n">
        <f aca="false">ROUND(S184*(1+N(Debts!$D$8)/12),2)</f>
        <v>0</v>
      </c>
      <c r="AD185" s="56" t="n">
        <f aca="false">ROUND(T184*(1+N(Debts!$D$9)/12),2)</f>
        <v>0</v>
      </c>
      <c r="AE185" s="56" t="n">
        <f aca="false">ROUND(U184*(1+N(Debts!$D$10)/12),2)</f>
        <v>0</v>
      </c>
      <c r="AF185" s="56" t="n">
        <f aca="false">ROUND(V184*(1+N(Debts!$D$11)/12),2)</f>
        <v>0</v>
      </c>
      <c r="AG185" s="56" t="n">
        <f aca="false">ROUND(W184*(1+N(Debts!$D$12)/12),2)</f>
        <v>0</v>
      </c>
      <c r="AH185" s="56" t="n">
        <f aca="false">ROUND(X184*(1+N(Debts!$D$13)/12),2)</f>
        <v>0</v>
      </c>
      <c r="AI185" s="56" t="n">
        <f aca="false">ROUND(Y184*(1+N(Debts!$D$14)/12),2)</f>
        <v>0</v>
      </c>
      <c r="AJ185" s="56" t="n">
        <f aca="false">MIN(Z185,MAX(0,N(Debts!$E$5)))</f>
        <v>0</v>
      </c>
      <c r="AK185" s="56" t="n">
        <f aca="false">MIN(AA185,MAX(0,N(Debts!$E$6)))</f>
        <v>0</v>
      </c>
      <c r="AL185" s="56" t="n">
        <f aca="false">MIN(AB185,MAX(0,N(Debts!$E$7)))</f>
        <v>0</v>
      </c>
      <c r="AM185" s="56" t="n">
        <f aca="false">MIN(AC185,MAX(0,N(Debts!$E$8)))</f>
        <v>0</v>
      </c>
      <c r="AN185" s="56" t="n">
        <f aca="false">MIN(AD185,MAX(0,N(Debts!$E$9)))</f>
        <v>0</v>
      </c>
      <c r="AO185" s="56" t="n">
        <f aca="false">MIN(AE185,MAX(0,N(Debts!$E$10)))</f>
        <v>0</v>
      </c>
      <c r="AP185" s="56" t="n">
        <f aca="false">MIN(AF185,MAX(0,N(Debts!$E$11)))</f>
        <v>0</v>
      </c>
      <c r="AQ185" s="56" t="n">
        <f aca="false">MIN(AG185,MAX(0,N(Debts!$E$12)))</f>
        <v>0</v>
      </c>
      <c r="AR185" s="56" t="n">
        <f aca="false">MIN(AH185,MAX(0,N(Debts!$E$13)))</f>
        <v>0</v>
      </c>
      <c r="AS185" s="56" t="n">
        <f aca="false">MIN(AI185,MAX(0,N(Debts!$E$14)))</f>
        <v>0</v>
      </c>
    </row>
    <row r="186" customFormat="false" ht="15" hidden="false" customHeight="false" outlineLevel="0" collapsed="false">
      <c r="A186" s="53" t="n">
        <v>182</v>
      </c>
      <c r="B186" s="54" t="n">
        <f aca="false">EDATE('Start Here'!$B$8,181)</f>
        <v>51836</v>
      </c>
      <c r="C186" s="42" t="n">
        <f aca="false">SUM(F186:O186)</f>
        <v>0</v>
      </c>
      <c r="D186" s="42" t="n">
        <f aca="false">ROUND(SUM($Z186:$AI186)-SUM(P185:Y185),2)</f>
        <v>0</v>
      </c>
      <c r="E186" s="55" t="n">
        <f aca="false">SUM(P186:Y186)</f>
        <v>0</v>
      </c>
      <c r="F186" s="42" t="n">
        <f aca="false">AJ186+MIN(Z186-AJ186,MAX(0,'Start Here'!$B$10-SUM($AJ186:$AS186)-SUMPRODUCT(($Z$3:$AI$3&lt;Z$3)*($Z186:$AI186-$AJ186:$AS186))))</f>
        <v>0</v>
      </c>
      <c r="G186" s="42" t="n">
        <f aca="false">AK186+MIN(AA186-AK186,MAX(0,'Start Here'!$B$10-SUM($AJ186:$AS186)-SUMPRODUCT(($Z$3:$AI$3&lt;AA$3)*($Z186:$AI186-$AJ186:$AS186))))</f>
        <v>0</v>
      </c>
      <c r="H186" s="42" t="n">
        <f aca="false">AL186+MIN(AB186-AL186,MAX(0,'Start Here'!$B$10-SUM($AJ186:$AS186)-SUMPRODUCT(($Z$3:$AI$3&lt;AB$3)*($Z186:$AI186-$AJ186:$AS186))))</f>
        <v>0</v>
      </c>
      <c r="I186" s="42" t="n">
        <f aca="false">AM186+MIN(AC186-AM186,MAX(0,'Start Here'!$B$10-SUM($AJ186:$AS186)-SUMPRODUCT(($Z$3:$AI$3&lt;AC$3)*($Z186:$AI186-$AJ186:$AS186))))</f>
        <v>0</v>
      </c>
      <c r="J186" s="42" t="n">
        <f aca="false">AN186+MIN(AD186-AN186,MAX(0,'Start Here'!$B$10-SUM($AJ186:$AS186)-SUMPRODUCT(($Z$3:$AI$3&lt;AD$3)*($Z186:$AI186-$AJ186:$AS186))))</f>
        <v>0</v>
      </c>
      <c r="K186" s="42" t="n">
        <f aca="false">AO186+MIN(AE186-AO186,MAX(0,'Start Here'!$B$10-SUM($AJ186:$AS186)-SUMPRODUCT(($Z$3:$AI$3&lt;AE$3)*($Z186:$AI186-$AJ186:$AS186))))</f>
        <v>0</v>
      </c>
      <c r="L186" s="42" t="n">
        <f aca="false">AP186+MIN(AF186-AP186,MAX(0,'Start Here'!$B$10-SUM($AJ186:$AS186)-SUMPRODUCT(($Z$3:$AI$3&lt;AF$3)*($Z186:$AI186-$AJ186:$AS186))))</f>
        <v>0</v>
      </c>
      <c r="M186" s="42" t="n">
        <f aca="false">AQ186+MIN(AG186-AQ186,MAX(0,'Start Here'!$B$10-SUM($AJ186:$AS186)-SUMPRODUCT(($Z$3:$AI$3&lt;AG$3)*($Z186:$AI186-$AJ186:$AS186))))</f>
        <v>0</v>
      </c>
      <c r="N186" s="42" t="n">
        <f aca="false">AR186+MIN(AH186-AR186,MAX(0,'Start Here'!$B$10-SUM($AJ186:$AS186)-SUMPRODUCT(($Z$3:$AI$3&lt;AH$3)*($Z186:$AI186-$AJ186:$AS186))))</f>
        <v>0</v>
      </c>
      <c r="O186" s="42" t="n">
        <f aca="false">AS186+MIN(AI186-AS186,MAX(0,'Start Here'!$B$10-SUM($AJ186:$AS186)-SUMPRODUCT(($Z$3:$AI$3&lt;AI$3)*($Z186:$AI186-$AJ186:$AS186))))</f>
        <v>0</v>
      </c>
      <c r="P186" s="42" t="n">
        <f aca="false">ROUND(Z186-F186,2)</f>
        <v>0</v>
      </c>
      <c r="Q186" s="42" t="n">
        <f aca="false">ROUND(AA186-G186,2)</f>
        <v>0</v>
      </c>
      <c r="R186" s="42" t="n">
        <f aca="false">ROUND(AB186-H186,2)</f>
        <v>0</v>
      </c>
      <c r="S186" s="42" t="n">
        <f aca="false">ROUND(AC186-I186,2)</f>
        <v>0</v>
      </c>
      <c r="T186" s="42" t="n">
        <f aca="false">ROUND(AD186-J186,2)</f>
        <v>0</v>
      </c>
      <c r="U186" s="42" t="n">
        <f aca="false">ROUND(AE186-K186,2)</f>
        <v>0</v>
      </c>
      <c r="V186" s="42" t="n">
        <f aca="false">ROUND(AF186-L186,2)</f>
        <v>0</v>
      </c>
      <c r="W186" s="42" t="n">
        <f aca="false">ROUND(AG186-M186,2)</f>
        <v>0</v>
      </c>
      <c r="X186" s="42" t="n">
        <f aca="false">ROUND(AH186-N186,2)</f>
        <v>0</v>
      </c>
      <c r="Y186" s="42" t="n">
        <f aca="false">ROUND(AI186-O186,2)</f>
        <v>0</v>
      </c>
      <c r="Z186" s="56" t="n">
        <f aca="false">ROUND(P185*(1+N(Debts!$D$5)/12),2)</f>
        <v>0</v>
      </c>
      <c r="AA186" s="56" t="n">
        <f aca="false">ROUND(Q185*(1+N(Debts!$D$6)/12),2)</f>
        <v>0</v>
      </c>
      <c r="AB186" s="56" t="n">
        <f aca="false">ROUND(R185*(1+N(Debts!$D$7)/12),2)</f>
        <v>0</v>
      </c>
      <c r="AC186" s="56" t="n">
        <f aca="false">ROUND(S185*(1+N(Debts!$D$8)/12),2)</f>
        <v>0</v>
      </c>
      <c r="AD186" s="56" t="n">
        <f aca="false">ROUND(T185*(1+N(Debts!$D$9)/12),2)</f>
        <v>0</v>
      </c>
      <c r="AE186" s="56" t="n">
        <f aca="false">ROUND(U185*(1+N(Debts!$D$10)/12),2)</f>
        <v>0</v>
      </c>
      <c r="AF186" s="56" t="n">
        <f aca="false">ROUND(V185*(1+N(Debts!$D$11)/12),2)</f>
        <v>0</v>
      </c>
      <c r="AG186" s="56" t="n">
        <f aca="false">ROUND(W185*(1+N(Debts!$D$12)/12),2)</f>
        <v>0</v>
      </c>
      <c r="AH186" s="56" t="n">
        <f aca="false">ROUND(X185*(1+N(Debts!$D$13)/12),2)</f>
        <v>0</v>
      </c>
      <c r="AI186" s="56" t="n">
        <f aca="false">ROUND(Y185*(1+N(Debts!$D$14)/12),2)</f>
        <v>0</v>
      </c>
      <c r="AJ186" s="56" t="n">
        <f aca="false">MIN(Z186,MAX(0,N(Debts!$E$5)))</f>
        <v>0</v>
      </c>
      <c r="AK186" s="56" t="n">
        <f aca="false">MIN(AA186,MAX(0,N(Debts!$E$6)))</f>
        <v>0</v>
      </c>
      <c r="AL186" s="56" t="n">
        <f aca="false">MIN(AB186,MAX(0,N(Debts!$E$7)))</f>
        <v>0</v>
      </c>
      <c r="AM186" s="56" t="n">
        <f aca="false">MIN(AC186,MAX(0,N(Debts!$E$8)))</f>
        <v>0</v>
      </c>
      <c r="AN186" s="56" t="n">
        <f aca="false">MIN(AD186,MAX(0,N(Debts!$E$9)))</f>
        <v>0</v>
      </c>
      <c r="AO186" s="56" t="n">
        <f aca="false">MIN(AE186,MAX(0,N(Debts!$E$10)))</f>
        <v>0</v>
      </c>
      <c r="AP186" s="56" t="n">
        <f aca="false">MIN(AF186,MAX(0,N(Debts!$E$11)))</f>
        <v>0</v>
      </c>
      <c r="AQ186" s="56" t="n">
        <f aca="false">MIN(AG186,MAX(0,N(Debts!$E$12)))</f>
        <v>0</v>
      </c>
      <c r="AR186" s="56" t="n">
        <f aca="false">MIN(AH186,MAX(0,N(Debts!$E$13)))</f>
        <v>0</v>
      </c>
      <c r="AS186" s="56" t="n">
        <f aca="false">MIN(AI186,MAX(0,N(Debts!$E$14)))</f>
        <v>0</v>
      </c>
    </row>
    <row r="187" customFormat="false" ht="15" hidden="false" customHeight="false" outlineLevel="0" collapsed="false">
      <c r="A187" s="53" t="n">
        <v>183</v>
      </c>
      <c r="B187" s="54" t="n">
        <f aca="false">EDATE('Start Here'!$B$8,182)</f>
        <v>51867</v>
      </c>
      <c r="C187" s="42" t="n">
        <f aca="false">SUM(F187:O187)</f>
        <v>0</v>
      </c>
      <c r="D187" s="42" t="n">
        <f aca="false">ROUND(SUM($Z187:$AI187)-SUM(P186:Y186),2)</f>
        <v>0</v>
      </c>
      <c r="E187" s="55" t="n">
        <f aca="false">SUM(P187:Y187)</f>
        <v>0</v>
      </c>
      <c r="F187" s="42" t="n">
        <f aca="false">AJ187+MIN(Z187-AJ187,MAX(0,'Start Here'!$B$10-SUM($AJ187:$AS187)-SUMPRODUCT(($Z$3:$AI$3&lt;Z$3)*($Z187:$AI187-$AJ187:$AS187))))</f>
        <v>0</v>
      </c>
      <c r="G187" s="42" t="n">
        <f aca="false">AK187+MIN(AA187-AK187,MAX(0,'Start Here'!$B$10-SUM($AJ187:$AS187)-SUMPRODUCT(($Z$3:$AI$3&lt;AA$3)*($Z187:$AI187-$AJ187:$AS187))))</f>
        <v>0</v>
      </c>
      <c r="H187" s="42" t="n">
        <f aca="false">AL187+MIN(AB187-AL187,MAX(0,'Start Here'!$B$10-SUM($AJ187:$AS187)-SUMPRODUCT(($Z$3:$AI$3&lt;AB$3)*($Z187:$AI187-$AJ187:$AS187))))</f>
        <v>0</v>
      </c>
      <c r="I187" s="42" t="n">
        <f aca="false">AM187+MIN(AC187-AM187,MAX(0,'Start Here'!$B$10-SUM($AJ187:$AS187)-SUMPRODUCT(($Z$3:$AI$3&lt;AC$3)*($Z187:$AI187-$AJ187:$AS187))))</f>
        <v>0</v>
      </c>
      <c r="J187" s="42" t="n">
        <f aca="false">AN187+MIN(AD187-AN187,MAX(0,'Start Here'!$B$10-SUM($AJ187:$AS187)-SUMPRODUCT(($Z$3:$AI$3&lt;AD$3)*($Z187:$AI187-$AJ187:$AS187))))</f>
        <v>0</v>
      </c>
      <c r="K187" s="42" t="n">
        <f aca="false">AO187+MIN(AE187-AO187,MAX(0,'Start Here'!$B$10-SUM($AJ187:$AS187)-SUMPRODUCT(($Z$3:$AI$3&lt;AE$3)*($Z187:$AI187-$AJ187:$AS187))))</f>
        <v>0</v>
      </c>
      <c r="L187" s="42" t="n">
        <f aca="false">AP187+MIN(AF187-AP187,MAX(0,'Start Here'!$B$10-SUM($AJ187:$AS187)-SUMPRODUCT(($Z$3:$AI$3&lt;AF$3)*($Z187:$AI187-$AJ187:$AS187))))</f>
        <v>0</v>
      </c>
      <c r="M187" s="42" t="n">
        <f aca="false">AQ187+MIN(AG187-AQ187,MAX(0,'Start Here'!$B$10-SUM($AJ187:$AS187)-SUMPRODUCT(($Z$3:$AI$3&lt;AG$3)*($Z187:$AI187-$AJ187:$AS187))))</f>
        <v>0</v>
      </c>
      <c r="N187" s="42" t="n">
        <f aca="false">AR187+MIN(AH187-AR187,MAX(0,'Start Here'!$B$10-SUM($AJ187:$AS187)-SUMPRODUCT(($Z$3:$AI$3&lt;AH$3)*($Z187:$AI187-$AJ187:$AS187))))</f>
        <v>0</v>
      </c>
      <c r="O187" s="42" t="n">
        <f aca="false">AS187+MIN(AI187-AS187,MAX(0,'Start Here'!$B$10-SUM($AJ187:$AS187)-SUMPRODUCT(($Z$3:$AI$3&lt;AI$3)*($Z187:$AI187-$AJ187:$AS187))))</f>
        <v>0</v>
      </c>
      <c r="P187" s="42" t="n">
        <f aca="false">ROUND(Z187-F187,2)</f>
        <v>0</v>
      </c>
      <c r="Q187" s="42" t="n">
        <f aca="false">ROUND(AA187-G187,2)</f>
        <v>0</v>
      </c>
      <c r="R187" s="42" t="n">
        <f aca="false">ROUND(AB187-H187,2)</f>
        <v>0</v>
      </c>
      <c r="S187" s="42" t="n">
        <f aca="false">ROUND(AC187-I187,2)</f>
        <v>0</v>
      </c>
      <c r="T187" s="42" t="n">
        <f aca="false">ROUND(AD187-J187,2)</f>
        <v>0</v>
      </c>
      <c r="U187" s="42" t="n">
        <f aca="false">ROUND(AE187-K187,2)</f>
        <v>0</v>
      </c>
      <c r="V187" s="42" t="n">
        <f aca="false">ROUND(AF187-L187,2)</f>
        <v>0</v>
      </c>
      <c r="W187" s="42" t="n">
        <f aca="false">ROUND(AG187-M187,2)</f>
        <v>0</v>
      </c>
      <c r="X187" s="42" t="n">
        <f aca="false">ROUND(AH187-N187,2)</f>
        <v>0</v>
      </c>
      <c r="Y187" s="42" t="n">
        <f aca="false">ROUND(AI187-O187,2)</f>
        <v>0</v>
      </c>
      <c r="Z187" s="56" t="n">
        <f aca="false">ROUND(P186*(1+N(Debts!$D$5)/12),2)</f>
        <v>0</v>
      </c>
      <c r="AA187" s="56" t="n">
        <f aca="false">ROUND(Q186*(1+N(Debts!$D$6)/12),2)</f>
        <v>0</v>
      </c>
      <c r="AB187" s="56" t="n">
        <f aca="false">ROUND(R186*(1+N(Debts!$D$7)/12),2)</f>
        <v>0</v>
      </c>
      <c r="AC187" s="56" t="n">
        <f aca="false">ROUND(S186*(1+N(Debts!$D$8)/12),2)</f>
        <v>0</v>
      </c>
      <c r="AD187" s="56" t="n">
        <f aca="false">ROUND(T186*(1+N(Debts!$D$9)/12),2)</f>
        <v>0</v>
      </c>
      <c r="AE187" s="56" t="n">
        <f aca="false">ROUND(U186*(1+N(Debts!$D$10)/12),2)</f>
        <v>0</v>
      </c>
      <c r="AF187" s="56" t="n">
        <f aca="false">ROUND(V186*(1+N(Debts!$D$11)/12),2)</f>
        <v>0</v>
      </c>
      <c r="AG187" s="56" t="n">
        <f aca="false">ROUND(W186*(1+N(Debts!$D$12)/12),2)</f>
        <v>0</v>
      </c>
      <c r="AH187" s="56" t="n">
        <f aca="false">ROUND(X186*(1+N(Debts!$D$13)/12),2)</f>
        <v>0</v>
      </c>
      <c r="AI187" s="56" t="n">
        <f aca="false">ROUND(Y186*(1+N(Debts!$D$14)/12),2)</f>
        <v>0</v>
      </c>
      <c r="AJ187" s="56" t="n">
        <f aca="false">MIN(Z187,MAX(0,N(Debts!$E$5)))</f>
        <v>0</v>
      </c>
      <c r="AK187" s="56" t="n">
        <f aca="false">MIN(AA187,MAX(0,N(Debts!$E$6)))</f>
        <v>0</v>
      </c>
      <c r="AL187" s="56" t="n">
        <f aca="false">MIN(AB187,MAX(0,N(Debts!$E$7)))</f>
        <v>0</v>
      </c>
      <c r="AM187" s="56" t="n">
        <f aca="false">MIN(AC187,MAX(0,N(Debts!$E$8)))</f>
        <v>0</v>
      </c>
      <c r="AN187" s="56" t="n">
        <f aca="false">MIN(AD187,MAX(0,N(Debts!$E$9)))</f>
        <v>0</v>
      </c>
      <c r="AO187" s="56" t="n">
        <f aca="false">MIN(AE187,MAX(0,N(Debts!$E$10)))</f>
        <v>0</v>
      </c>
      <c r="AP187" s="56" t="n">
        <f aca="false">MIN(AF187,MAX(0,N(Debts!$E$11)))</f>
        <v>0</v>
      </c>
      <c r="AQ187" s="56" t="n">
        <f aca="false">MIN(AG187,MAX(0,N(Debts!$E$12)))</f>
        <v>0</v>
      </c>
      <c r="AR187" s="56" t="n">
        <f aca="false">MIN(AH187,MAX(0,N(Debts!$E$13)))</f>
        <v>0</v>
      </c>
      <c r="AS187" s="56" t="n">
        <f aca="false">MIN(AI187,MAX(0,N(Debts!$E$14)))</f>
        <v>0</v>
      </c>
    </row>
    <row r="188" customFormat="false" ht="15" hidden="false" customHeight="false" outlineLevel="0" collapsed="false">
      <c r="A188" s="53" t="n">
        <v>184</v>
      </c>
      <c r="B188" s="54" t="n">
        <f aca="false">EDATE('Start Here'!$B$8,183)</f>
        <v>51898</v>
      </c>
      <c r="C188" s="42" t="n">
        <f aca="false">SUM(F188:O188)</f>
        <v>0</v>
      </c>
      <c r="D188" s="42" t="n">
        <f aca="false">ROUND(SUM($Z188:$AI188)-SUM(P187:Y187),2)</f>
        <v>0</v>
      </c>
      <c r="E188" s="55" t="n">
        <f aca="false">SUM(P188:Y188)</f>
        <v>0</v>
      </c>
      <c r="F188" s="42" t="n">
        <f aca="false">AJ188+MIN(Z188-AJ188,MAX(0,'Start Here'!$B$10-SUM($AJ188:$AS188)-SUMPRODUCT(($Z$3:$AI$3&lt;Z$3)*($Z188:$AI188-$AJ188:$AS188))))</f>
        <v>0</v>
      </c>
      <c r="G188" s="42" t="n">
        <f aca="false">AK188+MIN(AA188-AK188,MAX(0,'Start Here'!$B$10-SUM($AJ188:$AS188)-SUMPRODUCT(($Z$3:$AI$3&lt;AA$3)*($Z188:$AI188-$AJ188:$AS188))))</f>
        <v>0</v>
      </c>
      <c r="H188" s="42" t="n">
        <f aca="false">AL188+MIN(AB188-AL188,MAX(0,'Start Here'!$B$10-SUM($AJ188:$AS188)-SUMPRODUCT(($Z$3:$AI$3&lt;AB$3)*($Z188:$AI188-$AJ188:$AS188))))</f>
        <v>0</v>
      </c>
      <c r="I188" s="42" t="n">
        <f aca="false">AM188+MIN(AC188-AM188,MAX(0,'Start Here'!$B$10-SUM($AJ188:$AS188)-SUMPRODUCT(($Z$3:$AI$3&lt;AC$3)*($Z188:$AI188-$AJ188:$AS188))))</f>
        <v>0</v>
      </c>
      <c r="J188" s="42" t="n">
        <f aca="false">AN188+MIN(AD188-AN188,MAX(0,'Start Here'!$B$10-SUM($AJ188:$AS188)-SUMPRODUCT(($Z$3:$AI$3&lt;AD$3)*($Z188:$AI188-$AJ188:$AS188))))</f>
        <v>0</v>
      </c>
      <c r="K188" s="42" t="n">
        <f aca="false">AO188+MIN(AE188-AO188,MAX(0,'Start Here'!$B$10-SUM($AJ188:$AS188)-SUMPRODUCT(($Z$3:$AI$3&lt;AE$3)*($Z188:$AI188-$AJ188:$AS188))))</f>
        <v>0</v>
      </c>
      <c r="L188" s="42" t="n">
        <f aca="false">AP188+MIN(AF188-AP188,MAX(0,'Start Here'!$B$10-SUM($AJ188:$AS188)-SUMPRODUCT(($Z$3:$AI$3&lt;AF$3)*($Z188:$AI188-$AJ188:$AS188))))</f>
        <v>0</v>
      </c>
      <c r="M188" s="42" t="n">
        <f aca="false">AQ188+MIN(AG188-AQ188,MAX(0,'Start Here'!$B$10-SUM($AJ188:$AS188)-SUMPRODUCT(($Z$3:$AI$3&lt;AG$3)*($Z188:$AI188-$AJ188:$AS188))))</f>
        <v>0</v>
      </c>
      <c r="N188" s="42" t="n">
        <f aca="false">AR188+MIN(AH188-AR188,MAX(0,'Start Here'!$B$10-SUM($AJ188:$AS188)-SUMPRODUCT(($Z$3:$AI$3&lt;AH$3)*($Z188:$AI188-$AJ188:$AS188))))</f>
        <v>0</v>
      </c>
      <c r="O188" s="42" t="n">
        <f aca="false">AS188+MIN(AI188-AS188,MAX(0,'Start Here'!$B$10-SUM($AJ188:$AS188)-SUMPRODUCT(($Z$3:$AI$3&lt;AI$3)*($Z188:$AI188-$AJ188:$AS188))))</f>
        <v>0</v>
      </c>
      <c r="P188" s="42" t="n">
        <f aca="false">ROUND(Z188-F188,2)</f>
        <v>0</v>
      </c>
      <c r="Q188" s="42" t="n">
        <f aca="false">ROUND(AA188-G188,2)</f>
        <v>0</v>
      </c>
      <c r="R188" s="42" t="n">
        <f aca="false">ROUND(AB188-H188,2)</f>
        <v>0</v>
      </c>
      <c r="S188" s="42" t="n">
        <f aca="false">ROUND(AC188-I188,2)</f>
        <v>0</v>
      </c>
      <c r="T188" s="42" t="n">
        <f aca="false">ROUND(AD188-J188,2)</f>
        <v>0</v>
      </c>
      <c r="U188" s="42" t="n">
        <f aca="false">ROUND(AE188-K188,2)</f>
        <v>0</v>
      </c>
      <c r="V188" s="42" t="n">
        <f aca="false">ROUND(AF188-L188,2)</f>
        <v>0</v>
      </c>
      <c r="W188" s="42" t="n">
        <f aca="false">ROUND(AG188-M188,2)</f>
        <v>0</v>
      </c>
      <c r="X188" s="42" t="n">
        <f aca="false">ROUND(AH188-N188,2)</f>
        <v>0</v>
      </c>
      <c r="Y188" s="42" t="n">
        <f aca="false">ROUND(AI188-O188,2)</f>
        <v>0</v>
      </c>
      <c r="Z188" s="56" t="n">
        <f aca="false">ROUND(P187*(1+N(Debts!$D$5)/12),2)</f>
        <v>0</v>
      </c>
      <c r="AA188" s="56" t="n">
        <f aca="false">ROUND(Q187*(1+N(Debts!$D$6)/12),2)</f>
        <v>0</v>
      </c>
      <c r="AB188" s="56" t="n">
        <f aca="false">ROUND(R187*(1+N(Debts!$D$7)/12),2)</f>
        <v>0</v>
      </c>
      <c r="AC188" s="56" t="n">
        <f aca="false">ROUND(S187*(1+N(Debts!$D$8)/12),2)</f>
        <v>0</v>
      </c>
      <c r="AD188" s="56" t="n">
        <f aca="false">ROUND(T187*(1+N(Debts!$D$9)/12),2)</f>
        <v>0</v>
      </c>
      <c r="AE188" s="56" t="n">
        <f aca="false">ROUND(U187*(1+N(Debts!$D$10)/12),2)</f>
        <v>0</v>
      </c>
      <c r="AF188" s="56" t="n">
        <f aca="false">ROUND(V187*(1+N(Debts!$D$11)/12),2)</f>
        <v>0</v>
      </c>
      <c r="AG188" s="56" t="n">
        <f aca="false">ROUND(W187*(1+N(Debts!$D$12)/12),2)</f>
        <v>0</v>
      </c>
      <c r="AH188" s="56" t="n">
        <f aca="false">ROUND(X187*(1+N(Debts!$D$13)/12),2)</f>
        <v>0</v>
      </c>
      <c r="AI188" s="56" t="n">
        <f aca="false">ROUND(Y187*(1+N(Debts!$D$14)/12),2)</f>
        <v>0</v>
      </c>
      <c r="AJ188" s="56" t="n">
        <f aca="false">MIN(Z188,MAX(0,N(Debts!$E$5)))</f>
        <v>0</v>
      </c>
      <c r="AK188" s="56" t="n">
        <f aca="false">MIN(AA188,MAX(0,N(Debts!$E$6)))</f>
        <v>0</v>
      </c>
      <c r="AL188" s="56" t="n">
        <f aca="false">MIN(AB188,MAX(0,N(Debts!$E$7)))</f>
        <v>0</v>
      </c>
      <c r="AM188" s="56" t="n">
        <f aca="false">MIN(AC188,MAX(0,N(Debts!$E$8)))</f>
        <v>0</v>
      </c>
      <c r="AN188" s="56" t="n">
        <f aca="false">MIN(AD188,MAX(0,N(Debts!$E$9)))</f>
        <v>0</v>
      </c>
      <c r="AO188" s="56" t="n">
        <f aca="false">MIN(AE188,MAX(0,N(Debts!$E$10)))</f>
        <v>0</v>
      </c>
      <c r="AP188" s="56" t="n">
        <f aca="false">MIN(AF188,MAX(0,N(Debts!$E$11)))</f>
        <v>0</v>
      </c>
      <c r="AQ188" s="56" t="n">
        <f aca="false">MIN(AG188,MAX(0,N(Debts!$E$12)))</f>
        <v>0</v>
      </c>
      <c r="AR188" s="56" t="n">
        <f aca="false">MIN(AH188,MAX(0,N(Debts!$E$13)))</f>
        <v>0</v>
      </c>
      <c r="AS188" s="56" t="n">
        <f aca="false">MIN(AI188,MAX(0,N(Debts!$E$14)))</f>
        <v>0</v>
      </c>
    </row>
    <row r="189" customFormat="false" ht="15" hidden="false" customHeight="false" outlineLevel="0" collapsed="false">
      <c r="A189" s="53" t="n">
        <v>185</v>
      </c>
      <c r="B189" s="54" t="n">
        <f aca="false">EDATE('Start Here'!$B$8,184)</f>
        <v>51926</v>
      </c>
      <c r="C189" s="42" t="n">
        <f aca="false">SUM(F189:O189)</f>
        <v>0</v>
      </c>
      <c r="D189" s="42" t="n">
        <f aca="false">ROUND(SUM($Z189:$AI189)-SUM(P188:Y188),2)</f>
        <v>0</v>
      </c>
      <c r="E189" s="55" t="n">
        <f aca="false">SUM(P189:Y189)</f>
        <v>0</v>
      </c>
      <c r="F189" s="42" t="n">
        <f aca="false">AJ189+MIN(Z189-AJ189,MAX(0,'Start Here'!$B$10-SUM($AJ189:$AS189)-SUMPRODUCT(($Z$3:$AI$3&lt;Z$3)*($Z189:$AI189-$AJ189:$AS189))))</f>
        <v>0</v>
      </c>
      <c r="G189" s="42" t="n">
        <f aca="false">AK189+MIN(AA189-AK189,MAX(0,'Start Here'!$B$10-SUM($AJ189:$AS189)-SUMPRODUCT(($Z$3:$AI$3&lt;AA$3)*($Z189:$AI189-$AJ189:$AS189))))</f>
        <v>0</v>
      </c>
      <c r="H189" s="42" t="n">
        <f aca="false">AL189+MIN(AB189-AL189,MAX(0,'Start Here'!$B$10-SUM($AJ189:$AS189)-SUMPRODUCT(($Z$3:$AI$3&lt;AB$3)*($Z189:$AI189-$AJ189:$AS189))))</f>
        <v>0</v>
      </c>
      <c r="I189" s="42" t="n">
        <f aca="false">AM189+MIN(AC189-AM189,MAX(0,'Start Here'!$B$10-SUM($AJ189:$AS189)-SUMPRODUCT(($Z$3:$AI$3&lt;AC$3)*($Z189:$AI189-$AJ189:$AS189))))</f>
        <v>0</v>
      </c>
      <c r="J189" s="42" t="n">
        <f aca="false">AN189+MIN(AD189-AN189,MAX(0,'Start Here'!$B$10-SUM($AJ189:$AS189)-SUMPRODUCT(($Z$3:$AI$3&lt;AD$3)*($Z189:$AI189-$AJ189:$AS189))))</f>
        <v>0</v>
      </c>
      <c r="K189" s="42" t="n">
        <f aca="false">AO189+MIN(AE189-AO189,MAX(0,'Start Here'!$B$10-SUM($AJ189:$AS189)-SUMPRODUCT(($Z$3:$AI$3&lt;AE$3)*($Z189:$AI189-$AJ189:$AS189))))</f>
        <v>0</v>
      </c>
      <c r="L189" s="42" t="n">
        <f aca="false">AP189+MIN(AF189-AP189,MAX(0,'Start Here'!$B$10-SUM($AJ189:$AS189)-SUMPRODUCT(($Z$3:$AI$3&lt;AF$3)*($Z189:$AI189-$AJ189:$AS189))))</f>
        <v>0</v>
      </c>
      <c r="M189" s="42" t="n">
        <f aca="false">AQ189+MIN(AG189-AQ189,MAX(0,'Start Here'!$B$10-SUM($AJ189:$AS189)-SUMPRODUCT(($Z$3:$AI$3&lt;AG$3)*($Z189:$AI189-$AJ189:$AS189))))</f>
        <v>0</v>
      </c>
      <c r="N189" s="42" t="n">
        <f aca="false">AR189+MIN(AH189-AR189,MAX(0,'Start Here'!$B$10-SUM($AJ189:$AS189)-SUMPRODUCT(($Z$3:$AI$3&lt;AH$3)*($Z189:$AI189-$AJ189:$AS189))))</f>
        <v>0</v>
      </c>
      <c r="O189" s="42" t="n">
        <f aca="false">AS189+MIN(AI189-AS189,MAX(0,'Start Here'!$B$10-SUM($AJ189:$AS189)-SUMPRODUCT(($Z$3:$AI$3&lt;AI$3)*($Z189:$AI189-$AJ189:$AS189))))</f>
        <v>0</v>
      </c>
      <c r="P189" s="42" t="n">
        <f aca="false">ROUND(Z189-F189,2)</f>
        <v>0</v>
      </c>
      <c r="Q189" s="42" t="n">
        <f aca="false">ROUND(AA189-G189,2)</f>
        <v>0</v>
      </c>
      <c r="R189" s="42" t="n">
        <f aca="false">ROUND(AB189-H189,2)</f>
        <v>0</v>
      </c>
      <c r="S189" s="42" t="n">
        <f aca="false">ROUND(AC189-I189,2)</f>
        <v>0</v>
      </c>
      <c r="T189" s="42" t="n">
        <f aca="false">ROUND(AD189-J189,2)</f>
        <v>0</v>
      </c>
      <c r="U189" s="42" t="n">
        <f aca="false">ROUND(AE189-K189,2)</f>
        <v>0</v>
      </c>
      <c r="V189" s="42" t="n">
        <f aca="false">ROUND(AF189-L189,2)</f>
        <v>0</v>
      </c>
      <c r="W189" s="42" t="n">
        <f aca="false">ROUND(AG189-M189,2)</f>
        <v>0</v>
      </c>
      <c r="X189" s="42" t="n">
        <f aca="false">ROUND(AH189-N189,2)</f>
        <v>0</v>
      </c>
      <c r="Y189" s="42" t="n">
        <f aca="false">ROUND(AI189-O189,2)</f>
        <v>0</v>
      </c>
      <c r="Z189" s="56" t="n">
        <f aca="false">ROUND(P188*(1+N(Debts!$D$5)/12),2)</f>
        <v>0</v>
      </c>
      <c r="AA189" s="56" t="n">
        <f aca="false">ROUND(Q188*(1+N(Debts!$D$6)/12),2)</f>
        <v>0</v>
      </c>
      <c r="AB189" s="56" t="n">
        <f aca="false">ROUND(R188*(1+N(Debts!$D$7)/12),2)</f>
        <v>0</v>
      </c>
      <c r="AC189" s="56" t="n">
        <f aca="false">ROUND(S188*(1+N(Debts!$D$8)/12),2)</f>
        <v>0</v>
      </c>
      <c r="AD189" s="56" t="n">
        <f aca="false">ROUND(T188*(1+N(Debts!$D$9)/12),2)</f>
        <v>0</v>
      </c>
      <c r="AE189" s="56" t="n">
        <f aca="false">ROUND(U188*(1+N(Debts!$D$10)/12),2)</f>
        <v>0</v>
      </c>
      <c r="AF189" s="56" t="n">
        <f aca="false">ROUND(V188*(1+N(Debts!$D$11)/12),2)</f>
        <v>0</v>
      </c>
      <c r="AG189" s="56" t="n">
        <f aca="false">ROUND(W188*(1+N(Debts!$D$12)/12),2)</f>
        <v>0</v>
      </c>
      <c r="AH189" s="56" t="n">
        <f aca="false">ROUND(X188*(1+N(Debts!$D$13)/12),2)</f>
        <v>0</v>
      </c>
      <c r="AI189" s="56" t="n">
        <f aca="false">ROUND(Y188*(1+N(Debts!$D$14)/12),2)</f>
        <v>0</v>
      </c>
      <c r="AJ189" s="56" t="n">
        <f aca="false">MIN(Z189,MAX(0,N(Debts!$E$5)))</f>
        <v>0</v>
      </c>
      <c r="AK189" s="56" t="n">
        <f aca="false">MIN(AA189,MAX(0,N(Debts!$E$6)))</f>
        <v>0</v>
      </c>
      <c r="AL189" s="56" t="n">
        <f aca="false">MIN(AB189,MAX(0,N(Debts!$E$7)))</f>
        <v>0</v>
      </c>
      <c r="AM189" s="56" t="n">
        <f aca="false">MIN(AC189,MAX(0,N(Debts!$E$8)))</f>
        <v>0</v>
      </c>
      <c r="AN189" s="56" t="n">
        <f aca="false">MIN(AD189,MAX(0,N(Debts!$E$9)))</f>
        <v>0</v>
      </c>
      <c r="AO189" s="56" t="n">
        <f aca="false">MIN(AE189,MAX(0,N(Debts!$E$10)))</f>
        <v>0</v>
      </c>
      <c r="AP189" s="56" t="n">
        <f aca="false">MIN(AF189,MAX(0,N(Debts!$E$11)))</f>
        <v>0</v>
      </c>
      <c r="AQ189" s="56" t="n">
        <f aca="false">MIN(AG189,MAX(0,N(Debts!$E$12)))</f>
        <v>0</v>
      </c>
      <c r="AR189" s="56" t="n">
        <f aca="false">MIN(AH189,MAX(0,N(Debts!$E$13)))</f>
        <v>0</v>
      </c>
      <c r="AS189" s="56" t="n">
        <f aca="false">MIN(AI189,MAX(0,N(Debts!$E$14)))</f>
        <v>0</v>
      </c>
    </row>
    <row r="190" customFormat="false" ht="15" hidden="false" customHeight="false" outlineLevel="0" collapsed="false">
      <c r="A190" s="53" t="n">
        <v>186</v>
      </c>
      <c r="B190" s="54" t="n">
        <f aca="false">EDATE('Start Here'!$B$8,185)</f>
        <v>51957</v>
      </c>
      <c r="C190" s="42" t="n">
        <f aca="false">SUM(F190:O190)</f>
        <v>0</v>
      </c>
      <c r="D190" s="42" t="n">
        <f aca="false">ROUND(SUM($Z190:$AI190)-SUM(P189:Y189),2)</f>
        <v>0</v>
      </c>
      <c r="E190" s="55" t="n">
        <f aca="false">SUM(P190:Y190)</f>
        <v>0</v>
      </c>
      <c r="F190" s="42" t="n">
        <f aca="false">AJ190+MIN(Z190-AJ190,MAX(0,'Start Here'!$B$10-SUM($AJ190:$AS190)-SUMPRODUCT(($Z$3:$AI$3&lt;Z$3)*($Z190:$AI190-$AJ190:$AS190))))</f>
        <v>0</v>
      </c>
      <c r="G190" s="42" t="n">
        <f aca="false">AK190+MIN(AA190-AK190,MAX(0,'Start Here'!$B$10-SUM($AJ190:$AS190)-SUMPRODUCT(($Z$3:$AI$3&lt;AA$3)*($Z190:$AI190-$AJ190:$AS190))))</f>
        <v>0</v>
      </c>
      <c r="H190" s="42" t="n">
        <f aca="false">AL190+MIN(AB190-AL190,MAX(0,'Start Here'!$B$10-SUM($AJ190:$AS190)-SUMPRODUCT(($Z$3:$AI$3&lt;AB$3)*($Z190:$AI190-$AJ190:$AS190))))</f>
        <v>0</v>
      </c>
      <c r="I190" s="42" t="n">
        <f aca="false">AM190+MIN(AC190-AM190,MAX(0,'Start Here'!$B$10-SUM($AJ190:$AS190)-SUMPRODUCT(($Z$3:$AI$3&lt;AC$3)*($Z190:$AI190-$AJ190:$AS190))))</f>
        <v>0</v>
      </c>
      <c r="J190" s="42" t="n">
        <f aca="false">AN190+MIN(AD190-AN190,MAX(0,'Start Here'!$B$10-SUM($AJ190:$AS190)-SUMPRODUCT(($Z$3:$AI$3&lt;AD$3)*($Z190:$AI190-$AJ190:$AS190))))</f>
        <v>0</v>
      </c>
      <c r="K190" s="42" t="n">
        <f aca="false">AO190+MIN(AE190-AO190,MAX(0,'Start Here'!$B$10-SUM($AJ190:$AS190)-SUMPRODUCT(($Z$3:$AI$3&lt;AE$3)*($Z190:$AI190-$AJ190:$AS190))))</f>
        <v>0</v>
      </c>
      <c r="L190" s="42" t="n">
        <f aca="false">AP190+MIN(AF190-AP190,MAX(0,'Start Here'!$B$10-SUM($AJ190:$AS190)-SUMPRODUCT(($Z$3:$AI$3&lt;AF$3)*($Z190:$AI190-$AJ190:$AS190))))</f>
        <v>0</v>
      </c>
      <c r="M190" s="42" t="n">
        <f aca="false">AQ190+MIN(AG190-AQ190,MAX(0,'Start Here'!$B$10-SUM($AJ190:$AS190)-SUMPRODUCT(($Z$3:$AI$3&lt;AG$3)*($Z190:$AI190-$AJ190:$AS190))))</f>
        <v>0</v>
      </c>
      <c r="N190" s="42" t="n">
        <f aca="false">AR190+MIN(AH190-AR190,MAX(0,'Start Here'!$B$10-SUM($AJ190:$AS190)-SUMPRODUCT(($Z$3:$AI$3&lt;AH$3)*($Z190:$AI190-$AJ190:$AS190))))</f>
        <v>0</v>
      </c>
      <c r="O190" s="42" t="n">
        <f aca="false">AS190+MIN(AI190-AS190,MAX(0,'Start Here'!$B$10-SUM($AJ190:$AS190)-SUMPRODUCT(($Z$3:$AI$3&lt;AI$3)*($Z190:$AI190-$AJ190:$AS190))))</f>
        <v>0</v>
      </c>
      <c r="P190" s="42" t="n">
        <f aca="false">ROUND(Z190-F190,2)</f>
        <v>0</v>
      </c>
      <c r="Q190" s="42" t="n">
        <f aca="false">ROUND(AA190-G190,2)</f>
        <v>0</v>
      </c>
      <c r="R190" s="42" t="n">
        <f aca="false">ROUND(AB190-H190,2)</f>
        <v>0</v>
      </c>
      <c r="S190" s="42" t="n">
        <f aca="false">ROUND(AC190-I190,2)</f>
        <v>0</v>
      </c>
      <c r="T190" s="42" t="n">
        <f aca="false">ROUND(AD190-J190,2)</f>
        <v>0</v>
      </c>
      <c r="U190" s="42" t="n">
        <f aca="false">ROUND(AE190-K190,2)</f>
        <v>0</v>
      </c>
      <c r="V190" s="42" t="n">
        <f aca="false">ROUND(AF190-L190,2)</f>
        <v>0</v>
      </c>
      <c r="W190" s="42" t="n">
        <f aca="false">ROUND(AG190-M190,2)</f>
        <v>0</v>
      </c>
      <c r="X190" s="42" t="n">
        <f aca="false">ROUND(AH190-N190,2)</f>
        <v>0</v>
      </c>
      <c r="Y190" s="42" t="n">
        <f aca="false">ROUND(AI190-O190,2)</f>
        <v>0</v>
      </c>
      <c r="Z190" s="56" t="n">
        <f aca="false">ROUND(P189*(1+N(Debts!$D$5)/12),2)</f>
        <v>0</v>
      </c>
      <c r="AA190" s="56" t="n">
        <f aca="false">ROUND(Q189*(1+N(Debts!$D$6)/12),2)</f>
        <v>0</v>
      </c>
      <c r="AB190" s="56" t="n">
        <f aca="false">ROUND(R189*(1+N(Debts!$D$7)/12),2)</f>
        <v>0</v>
      </c>
      <c r="AC190" s="56" t="n">
        <f aca="false">ROUND(S189*(1+N(Debts!$D$8)/12),2)</f>
        <v>0</v>
      </c>
      <c r="AD190" s="56" t="n">
        <f aca="false">ROUND(T189*(1+N(Debts!$D$9)/12),2)</f>
        <v>0</v>
      </c>
      <c r="AE190" s="56" t="n">
        <f aca="false">ROUND(U189*(1+N(Debts!$D$10)/12),2)</f>
        <v>0</v>
      </c>
      <c r="AF190" s="56" t="n">
        <f aca="false">ROUND(V189*(1+N(Debts!$D$11)/12),2)</f>
        <v>0</v>
      </c>
      <c r="AG190" s="56" t="n">
        <f aca="false">ROUND(W189*(1+N(Debts!$D$12)/12),2)</f>
        <v>0</v>
      </c>
      <c r="AH190" s="56" t="n">
        <f aca="false">ROUND(X189*(1+N(Debts!$D$13)/12),2)</f>
        <v>0</v>
      </c>
      <c r="AI190" s="56" t="n">
        <f aca="false">ROUND(Y189*(1+N(Debts!$D$14)/12),2)</f>
        <v>0</v>
      </c>
      <c r="AJ190" s="56" t="n">
        <f aca="false">MIN(Z190,MAX(0,N(Debts!$E$5)))</f>
        <v>0</v>
      </c>
      <c r="AK190" s="56" t="n">
        <f aca="false">MIN(AA190,MAX(0,N(Debts!$E$6)))</f>
        <v>0</v>
      </c>
      <c r="AL190" s="56" t="n">
        <f aca="false">MIN(AB190,MAX(0,N(Debts!$E$7)))</f>
        <v>0</v>
      </c>
      <c r="AM190" s="56" t="n">
        <f aca="false">MIN(AC190,MAX(0,N(Debts!$E$8)))</f>
        <v>0</v>
      </c>
      <c r="AN190" s="56" t="n">
        <f aca="false">MIN(AD190,MAX(0,N(Debts!$E$9)))</f>
        <v>0</v>
      </c>
      <c r="AO190" s="56" t="n">
        <f aca="false">MIN(AE190,MAX(0,N(Debts!$E$10)))</f>
        <v>0</v>
      </c>
      <c r="AP190" s="56" t="n">
        <f aca="false">MIN(AF190,MAX(0,N(Debts!$E$11)))</f>
        <v>0</v>
      </c>
      <c r="AQ190" s="56" t="n">
        <f aca="false">MIN(AG190,MAX(0,N(Debts!$E$12)))</f>
        <v>0</v>
      </c>
      <c r="AR190" s="56" t="n">
        <f aca="false">MIN(AH190,MAX(0,N(Debts!$E$13)))</f>
        <v>0</v>
      </c>
      <c r="AS190" s="56" t="n">
        <f aca="false">MIN(AI190,MAX(0,N(Debts!$E$14)))</f>
        <v>0</v>
      </c>
    </row>
    <row r="191" customFormat="false" ht="15" hidden="false" customHeight="false" outlineLevel="0" collapsed="false">
      <c r="A191" s="53" t="n">
        <v>187</v>
      </c>
      <c r="B191" s="54" t="n">
        <f aca="false">EDATE('Start Here'!$B$8,186)</f>
        <v>51987</v>
      </c>
      <c r="C191" s="42" t="n">
        <f aca="false">SUM(F191:O191)</f>
        <v>0</v>
      </c>
      <c r="D191" s="42" t="n">
        <f aca="false">ROUND(SUM($Z191:$AI191)-SUM(P190:Y190),2)</f>
        <v>0</v>
      </c>
      <c r="E191" s="55" t="n">
        <f aca="false">SUM(P191:Y191)</f>
        <v>0</v>
      </c>
      <c r="F191" s="42" t="n">
        <f aca="false">AJ191+MIN(Z191-AJ191,MAX(0,'Start Here'!$B$10-SUM($AJ191:$AS191)-SUMPRODUCT(($Z$3:$AI$3&lt;Z$3)*($Z191:$AI191-$AJ191:$AS191))))</f>
        <v>0</v>
      </c>
      <c r="G191" s="42" t="n">
        <f aca="false">AK191+MIN(AA191-AK191,MAX(0,'Start Here'!$B$10-SUM($AJ191:$AS191)-SUMPRODUCT(($Z$3:$AI$3&lt;AA$3)*($Z191:$AI191-$AJ191:$AS191))))</f>
        <v>0</v>
      </c>
      <c r="H191" s="42" t="n">
        <f aca="false">AL191+MIN(AB191-AL191,MAX(0,'Start Here'!$B$10-SUM($AJ191:$AS191)-SUMPRODUCT(($Z$3:$AI$3&lt;AB$3)*($Z191:$AI191-$AJ191:$AS191))))</f>
        <v>0</v>
      </c>
      <c r="I191" s="42" t="n">
        <f aca="false">AM191+MIN(AC191-AM191,MAX(0,'Start Here'!$B$10-SUM($AJ191:$AS191)-SUMPRODUCT(($Z$3:$AI$3&lt;AC$3)*($Z191:$AI191-$AJ191:$AS191))))</f>
        <v>0</v>
      </c>
      <c r="J191" s="42" t="n">
        <f aca="false">AN191+MIN(AD191-AN191,MAX(0,'Start Here'!$B$10-SUM($AJ191:$AS191)-SUMPRODUCT(($Z$3:$AI$3&lt;AD$3)*($Z191:$AI191-$AJ191:$AS191))))</f>
        <v>0</v>
      </c>
      <c r="K191" s="42" t="n">
        <f aca="false">AO191+MIN(AE191-AO191,MAX(0,'Start Here'!$B$10-SUM($AJ191:$AS191)-SUMPRODUCT(($Z$3:$AI$3&lt;AE$3)*($Z191:$AI191-$AJ191:$AS191))))</f>
        <v>0</v>
      </c>
      <c r="L191" s="42" t="n">
        <f aca="false">AP191+MIN(AF191-AP191,MAX(0,'Start Here'!$B$10-SUM($AJ191:$AS191)-SUMPRODUCT(($Z$3:$AI$3&lt;AF$3)*($Z191:$AI191-$AJ191:$AS191))))</f>
        <v>0</v>
      </c>
      <c r="M191" s="42" t="n">
        <f aca="false">AQ191+MIN(AG191-AQ191,MAX(0,'Start Here'!$B$10-SUM($AJ191:$AS191)-SUMPRODUCT(($Z$3:$AI$3&lt;AG$3)*($Z191:$AI191-$AJ191:$AS191))))</f>
        <v>0</v>
      </c>
      <c r="N191" s="42" t="n">
        <f aca="false">AR191+MIN(AH191-AR191,MAX(0,'Start Here'!$B$10-SUM($AJ191:$AS191)-SUMPRODUCT(($Z$3:$AI$3&lt;AH$3)*($Z191:$AI191-$AJ191:$AS191))))</f>
        <v>0</v>
      </c>
      <c r="O191" s="42" t="n">
        <f aca="false">AS191+MIN(AI191-AS191,MAX(0,'Start Here'!$B$10-SUM($AJ191:$AS191)-SUMPRODUCT(($Z$3:$AI$3&lt;AI$3)*($Z191:$AI191-$AJ191:$AS191))))</f>
        <v>0</v>
      </c>
      <c r="P191" s="42" t="n">
        <f aca="false">ROUND(Z191-F191,2)</f>
        <v>0</v>
      </c>
      <c r="Q191" s="42" t="n">
        <f aca="false">ROUND(AA191-G191,2)</f>
        <v>0</v>
      </c>
      <c r="R191" s="42" t="n">
        <f aca="false">ROUND(AB191-H191,2)</f>
        <v>0</v>
      </c>
      <c r="S191" s="42" t="n">
        <f aca="false">ROUND(AC191-I191,2)</f>
        <v>0</v>
      </c>
      <c r="T191" s="42" t="n">
        <f aca="false">ROUND(AD191-J191,2)</f>
        <v>0</v>
      </c>
      <c r="U191" s="42" t="n">
        <f aca="false">ROUND(AE191-K191,2)</f>
        <v>0</v>
      </c>
      <c r="V191" s="42" t="n">
        <f aca="false">ROUND(AF191-L191,2)</f>
        <v>0</v>
      </c>
      <c r="W191" s="42" t="n">
        <f aca="false">ROUND(AG191-M191,2)</f>
        <v>0</v>
      </c>
      <c r="X191" s="42" t="n">
        <f aca="false">ROUND(AH191-N191,2)</f>
        <v>0</v>
      </c>
      <c r="Y191" s="42" t="n">
        <f aca="false">ROUND(AI191-O191,2)</f>
        <v>0</v>
      </c>
      <c r="Z191" s="56" t="n">
        <f aca="false">ROUND(P190*(1+N(Debts!$D$5)/12),2)</f>
        <v>0</v>
      </c>
      <c r="AA191" s="56" t="n">
        <f aca="false">ROUND(Q190*(1+N(Debts!$D$6)/12),2)</f>
        <v>0</v>
      </c>
      <c r="AB191" s="56" t="n">
        <f aca="false">ROUND(R190*(1+N(Debts!$D$7)/12),2)</f>
        <v>0</v>
      </c>
      <c r="AC191" s="56" t="n">
        <f aca="false">ROUND(S190*(1+N(Debts!$D$8)/12),2)</f>
        <v>0</v>
      </c>
      <c r="AD191" s="56" t="n">
        <f aca="false">ROUND(T190*(1+N(Debts!$D$9)/12),2)</f>
        <v>0</v>
      </c>
      <c r="AE191" s="56" t="n">
        <f aca="false">ROUND(U190*(1+N(Debts!$D$10)/12),2)</f>
        <v>0</v>
      </c>
      <c r="AF191" s="56" t="n">
        <f aca="false">ROUND(V190*(1+N(Debts!$D$11)/12),2)</f>
        <v>0</v>
      </c>
      <c r="AG191" s="56" t="n">
        <f aca="false">ROUND(W190*(1+N(Debts!$D$12)/12),2)</f>
        <v>0</v>
      </c>
      <c r="AH191" s="56" t="n">
        <f aca="false">ROUND(X190*(1+N(Debts!$D$13)/12),2)</f>
        <v>0</v>
      </c>
      <c r="AI191" s="56" t="n">
        <f aca="false">ROUND(Y190*(1+N(Debts!$D$14)/12),2)</f>
        <v>0</v>
      </c>
      <c r="AJ191" s="56" t="n">
        <f aca="false">MIN(Z191,MAX(0,N(Debts!$E$5)))</f>
        <v>0</v>
      </c>
      <c r="AK191" s="56" t="n">
        <f aca="false">MIN(AA191,MAX(0,N(Debts!$E$6)))</f>
        <v>0</v>
      </c>
      <c r="AL191" s="56" t="n">
        <f aca="false">MIN(AB191,MAX(0,N(Debts!$E$7)))</f>
        <v>0</v>
      </c>
      <c r="AM191" s="56" t="n">
        <f aca="false">MIN(AC191,MAX(0,N(Debts!$E$8)))</f>
        <v>0</v>
      </c>
      <c r="AN191" s="56" t="n">
        <f aca="false">MIN(AD191,MAX(0,N(Debts!$E$9)))</f>
        <v>0</v>
      </c>
      <c r="AO191" s="56" t="n">
        <f aca="false">MIN(AE191,MAX(0,N(Debts!$E$10)))</f>
        <v>0</v>
      </c>
      <c r="AP191" s="56" t="n">
        <f aca="false">MIN(AF191,MAX(0,N(Debts!$E$11)))</f>
        <v>0</v>
      </c>
      <c r="AQ191" s="56" t="n">
        <f aca="false">MIN(AG191,MAX(0,N(Debts!$E$12)))</f>
        <v>0</v>
      </c>
      <c r="AR191" s="56" t="n">
        <f aca="false">MIN(AH191,MAX(0,N(Debts!$E$13)))</f>
        <v>0</v>
      </c>
      <c r="AS191" s="56" t="n">
        <f aca="false">MIN(AI191,MAX(0,N(Debts!$E$14)))</f>
        <v>0</v>
      </c>
    </row>
    <row r="192" customFormat="false" ht="15" hidden="false" customHeight="false" outlineLevel="0" collapsed="false">
      <c r="A192" s="53" t="n">
        <v>188</v>
      </c>
      <c r="B192" s="54" t="n">
        <f aca="false">EDATE('Start Here'!$B$8,187)</f>
        <v>52018</v>
      </c>
      <c r="C192" s="42" t="n">
        <f aca="false">SUM(F192:O192)</f>
        <v>0</v>
      </c>
      <c r="D192" s="42" t="n">
        <f aca="false">ROUND(SUM($Z192:$AI192)-SUM(P191:Y191),2)</f>
        <v>0</v>
      </c>
      <c r="E192" s="55" t="n">
        <f aca="false">SUM(P192:Y192)</f>
        <v>0</v>
      </c>
      <c r="F192" s="42" t="n">
        <f aca="false">AJ192+MIN(Z192-AJ192,MAX(0,'Start Here'!$B$10-SUM($AJ192:$AS192)-SUMPRODUCT(($Z$3:$AI$3&lt;Z$3)*($Z192:$AI192-$AJ192:$AS192))))</f>
        <v>0</v>
      </c>
      <c r="G192" s="42" t="n">
        <f aca="false">AK192+MIN(AA192-AK192,MAX(0,'Start Here'!$B$10-SUM($AJ192:$AS192)-SUMPRODUCT(($Z$3:$AI$3&lt;AA$3)*($Z192:$AI192-$AJ192:$AS192))))</f>
        <v>0</v>
      </c>
      <c r="H192" s="42" t="n">
        <f aca="false">AL192+MIN(AB192-AL192,MAX(0,'Start Here'!$B$10-SUM($AJ192:$AS192)-SUMPRODUCT(($Z$3:$AI$3&lt;AB$3)*($Z192:$AI192-$AJ192:$AS192))))</f>
        <v>0</v>
      </c>
      <c r="I192" s="42" t="n">
        <f aca="false">AM192+MIN(AC192-AM192,MAX(0,'Start Here'!$B$10-SUM($AJ192:$AS192)-SUMPRODUCT(($Z$3:$AI$3&lt;AC$3)*($Z192:$AI192-$AJ192:$AS192))))</f>
        <v>0</v>
      </c>
      <c r="J192" s="42" t="n">
        <f aca="false">AN192+MIN(AD192-AN192,MAX(0,'Start Here'!$B$10-SUM($AJ192:$AS192)-SUMPRODUCT(($Z$3:$AI$3&lt;AD$3)*($Z192:$AI192-$AJ192:$AS192))))</f>
        <v>0</v>
      </c>
      <c r="K192" s="42" t="n">
        <f aca="false">AO192+MIN(AE192-AO192,MAX(0,'Start Here'!$B$10-SUM($AJ192:$AS192)-SUMPRODUCT(($Z$3:$AI$3&lt;AE$3)*($Z192:$AI192-$AJ192:$AS192))))</f>
        <v>0</v>
      </c>
      <c r="L192" s="42" t="n">
        <f aca="false">AP192+MIN(AF192-AP192,MAX(0,'Start Here'!$B$10-SUM($AJ192:$AS192)-SUMPRODUCT(($Z$3:$AI$3&lt;AF$3)*($Z192:$AI192-$AJ192:$AS192))))</f>
        <v>0</v>
      </c>
      <c r="M192" s="42" t="n">
        <f aca="false">AQ192+MIN(AG192-AQ192,MAX(0,'Start Here'!$B$10-SUM($AJ192:$AS192)-SUMPRODUCT(($Z$3:$AI$3&lt;AG$3)*($Z192:$AI192-$AJ192:$AS192))))</f>
        <v>0</v>
      </c>
      <c r="N192" s="42" t="n">
        <f aca="false">AR192+MIN(AH192-AR192,MAX(0,'Start Here'!$B$10-SUM($AJ192:$AS192)-SUMPRODUCT(($Z$3:$AI$3&lt;AH$3)*($Z192:$AI192-$AJ192:$AS192))))</f>
        <v>0</v>
      </c>
      <c r="O192" s="42" t="n">
        <f aca="false">AS192+MIN(AI192-AS192,MAX(0,'Start Here'!$B$10-SUM($AJ192:$AS192)-SUMPRODUCT(($Z$3:$AI$3&lt;AI$3)*($Z192:$AI192-$AJ192:$AS192))))</f>
        <v>0</v>
      </c>
      <c r="P192" s="42" t="n">
        <f aca="false">ROUND(Z192-F192,2)</f>
        <v>0</v>
      </c>
      <c r="Q192" s="42" t="n">
        <f aca="false">ROUND(AA192-G192,2)</f>
        <v>0</v>
      </c>
      <c r="R192" s="42" t="n">
        <f aca="false">ROUND(AB192-H192,2)</f>
        <v>0</v>
      </c>
      <c r="S192" s="42" t="n">
        <f aca="false">ROUND(AC192-I192,2)</f>
        <v>0</v>
      </c>
      <c r="T192" s="42" t="n">
        <f aca="false">ROUND(AD192-J192,2)</f>
        <v>0</v>
      </c>
      <c r="U192" s="42" t="n">
        <f aca="false">ROUND(AE192-K192,2)</f>
        <v>0</v>
      </c>
      <c r="V192" s="42" t="n">
        <f aca="false">ROUND(AF192-L192,2)</f>
        <v>0</v>
      </c>
      <c r="W192" s="42" t="n">
        <f aca="false">ROUND(AG192-M192,2)</f>
        <v>0</v>
      </c>
      <c r="X192" s="42" t="n">
        <f aca="false">ROUND(AH192-N192,2)</f>
        <v>0</v>
      </c>
      <c r="Y192" s="42" t="n">
        <f aca="false">ROUND(AI192-O192,2)</f>
        <v>0</v>
      </c>
      <c r="Z192" s="56" t="n">
        <f aca="false">ROUND(P191*(1+N(Debts!$D$5)/12),2)</f>
        <v>0</v>
      </c>
      <c r="AA192" s="56" t="n">
        <f aca="false">ROUND(Q191*(1+N(Debts!$D$6)/12),2)</f>
        <v>0</v>
      </c>
      <c r="AB192" s="56" t="n">
        <f aca="false">ROUND(R191*(1+N(Debts!$D$7)/12),2)</f>
        <v>0</v>
      </c>
      <c r="AC192" s="56" t="n">
        <f aca="false">ROUND(S191*(1+N(Debts!$D$8)/12),2)</f>
        <v>0</v>
      </c>
      <c r="AD192" s="56" t="n">
        <f aca="false">ROUND(T191*(1+N(Debts!$D$9)/12),2)</f>
        <v>0</v>
      </c>
      <c r="AE192" s="56" t="n">
        <f aca="false">ROUND(U191*(1+N(Debts!$D$10)/12),2)</f>
        <v>0</v>
      </c>
      <c r="AF192" s="56" t="n">
        <f aca="false">ROUND(V191*(1+N(Debts!$D$11)/12),2)</f>
        <v>0</v>
      </c>
      <c r="AG192" s="56" t="n">
        <f aca="false">ROUND(W191*(1+N(Debts!$D$12)/12),2)</f>
        <v>0</v>
      </c>
      <c r="AH192" s="56" t="n">
        <f aca="false">ROUND(X191*(1+N(Debts!$D$13)/12),2)</f>
        <v>0</v>
      </c>
      <c r="AI192" s="56" t="n">
        <f aca="false">ROUND(Y191*(1+N(Debts!$D$14)/12),2)</f>
        <v>0</v>
      </c>
      <c r="AJ192" s="56" t="n">
        <f aca="false">MIN(Z192,MAX(0,N(Debts!$E$5)))</f>
        <v>0</v>
      </c>
      <c r="AK192" s="56" t="n">
        <f aca="false">MIN(AA192,MAX(0,N(Debts!$E$6)))</f>
        <v>0</v>
      </c>
      <c r="AL192" s="56" t="n">
        <f aca="false">MIN(AB192,MAX(0,N(Debts!$E$7)))</f>
        <v>0</v>
      </c>
      <c r="AM192" s="56" t="n">
        <f aca="false">MIN(AC192,MAX(0,N(Debts!$E$8)))</f>
        <v>0</v>
      </c>
      <c r="AN192" s="56" t="n">
        <f aca="false">MIN(AD192,MAX(0,N(Debts!$E$9)))</f>
        <v>0</v>
      </c>
      <c r="AO192" s="56" t="n">
        <f aca="false">MIN(AE192,MAX(0,N(Debts!$E$10)))</f>
        <v>0</v>
      </c>
      <c r="AP192" s="56" t="n">
        <f aca="false">MIN(AF192,MAX(0,N(Debts!$E$11)))</f>
        <v>0</v>
      </c>
      <c r="AQ192" s="56" t="n">
        <f aca="false">MIN(AG192,MAX(0,N(Debts!$E$12)))</f>
        <v>0</v>
      </c>
      <c r="AR192" s="56" t="n">
        <f aca="false">MIN(AH192,MAX(0,N(Debts!$E$13)))</f>
        <v>0</v>
      </c>
      <c r="AS192" s="56" t="n">
        <f aca="false">MIN(AI192,MAX(0,N(Debts!$E$14)))</f>
        <v>0</v>
      </c>
    </row>
    <row r="193" customFormat="false" ht="15" hidden="false" customHeight="false" outlineLevel="0" collapsed="false">
      <c r="A193" s="53" t="n">
        <v>189</v>
      </c>
      <c r="B193" s="54" t="n">
        <f aca="false">EDATE('Start Here'!$B$8,188)</f>
        <v>52048</v>
      </c>
      <c r="C193" s="42" t="n">
        <f aca="false">SUM(F193:O193)</f>
        <v>0</v>
      </c>
      <c r="D193" s="42" t="n">
        <f aca="false">ROUND(SUM($Z193:$AI193)-SUM(P192:Y192),2)</f>
        <v>0</v>
      </c>
      <c r="E193" s="55" t="n">
        <f aca="false">SUM(P193:Y193)</f>
        <v>0</v>
      </c>
      <c r="F193" s="42" t="n">
        <f aca="false">AJ193+MIN(Z193-AJ193,MAX(0,'Start Here'!$B$10-SUM($AJ193:$AS193)-SUMPRODUCT(($Z$3:$AI$3&lt;Z$3)*($Z193:$AI193-$AJ193:$AS193))))</f>
        <v>0</v>
      </c>
      <c r="G193" s="42" t="n">
        <f aca="false">AK193+MIN(AA193-AK193,MAX(0,'Start Here'!$B$10-SUM($AJ193:$AS193)-SUMPRODUCT(($Z$3:$AI$3&lt;AA$3)*($Z193:$AI193-$AJ193:$AS193))))</f>
        <v>0</v>
      </c>
      <c r="H193" s="42" t="n">
        <f aca="false">AL193+MIN(AB193-AL193,MAX(0,'Start Here'!$B$10-SUM($AJ193:$AS193)-SUMPRODUCT(($Z$3:$AI$3&lt;AB$3)*($Z193:$AI193-$AJ193:$AS193))))</f>
        <v>0</v>
      </c>
      <c r="I193" s="42" t="n">
        <f aca="false">AM193+MIN(AC193-AM193,MAX(0,'Start Here'!$B$10-SUM($AJ193:$AS193)-SUMPRODUCT(($Z$3:$AI$3&lt;AC$3)*($Z193:$AI193-$AJ193:$AS193))))</f>
        <v>0</v>
      </c>
      <c r="J193" s="42" t="n">
        <f aca="false">AN193+MIN(AD193-AN193,MAX(0,'Start Here'!$B$10-SUM($AJ193:$AS193)-SUMPRODUCT(($Z$3:$AI$3&lt;AD$3)*($Z193:$AI193-$AJ193:$AS193))))</f>
        <v>0</v>
      </c>
      <c r="K193" s="42" t="n">
        <f aca="false">AO193+MIN(AE193-AO193,MAX(0,'Start Here'!$B$10-SUM($AJ193:$AS193)-SUMPRODUCT(($Z$3:$AI$3&lt;AE$3)*($Z193:$AI193-$AJ193:$AS193))))</f>
        <v>0</v>
      </c>
      <c r="L193" s="42" t="n">
        <f aca="false">AP193+MIN(AF193-AP193,MAX(0,'Start Here'!$B$10-SUM($AJ193:$AS193)-SUMPRODUCT(($Z$3:$AI$3&lt;AF$3)*($Z193:$AI193-$AJ193:$AS193))))</f>
        <v>0</v>
      </c>
      <c r="M193" s="42" t="n">
        <f aca="false">AQ193+MIN(AG193-AQ193,MAX(0,'Start Here'!$B$10-SUM($AJ193:$AS193)-SUMPRODUCT(($Z$3:$AI$3&lt;AG$3)*($Z193:$AI193-$AJ193:$AS193))))</f>
        <v>0</v>
      </c>
      <c r="N193" s="42" t="n">
        <f aca="false">AR193+MIN(AH193-AR193,MAX(0,'Start Here'!$B$10-SUM($AJ193:$AS193)-SUMPRODUCT(($Z$3:$AI$3&lt;AH$3)*($Z193:$AI193-$AJ193:$AS193))))</f>
        <v>0</v>
      </c>
      <c r="O193" s="42" t="n">
        <f aca="false">AS193+MIN(AI193-AS193,MAX(0,'Start Here'!$B$10-SUM($AJ193:$AS193)-SUMPRODUCT(($Z$3:$AI$3&lt;AI$3)*($Z193:$AI193-$AJ193:$AS193))))</f>
        <v>0</v>
      </c>
      <c r="P193" s="42" t="n">
        <f aca="false">ROUND(Z193-F193,2)</f>
        <v>0</v>
      </c>
      <c r="Q193" s="42" t="n">
        <f aca="false">ROUND(AA193-G193,2)</f>
        <v>0</v>
      </c>
      <c r="R193" s="42" t="n">
        <f aca="false">ROUND(AB193-H193,2)</f>
        <v>0</v>
      </c>
      <c r="S193" s="42" t="n">
        <f aca="false">ROUND(AC193-I193,2)</f>
        <v>0</v>
      </c>
      <c r="T193" s="42" t="n">
        <f aca="false">ROUND(AD193-J193,2)</f>
        <v>0</v>
      </c>
      <c r="U193" s="42" t="n">
        <f aca="false">ROUND(AE193-K193,2)</f>
        <v>0</v>
      </c>
      <c r="V193" s="42" t="n">
        <f aca="false">ROUND(AF193-L193,2)</f>
        <v>0</v>
      </c>
      <c r="W193" s="42" t="n">
        <f aca="false">ROUND(AG193-M193,2)</f>
        <v>0</v>
      </c>
      <c r="X193" s="42" t="n">
        <f aca="false">ROUND(AH193-N193,2)</f>
        <v>0</v>
      </c>
      <c r="Y193" s="42" t="n">
        <f aca="false">ROUND(AI193-O193,2)</f>
        <v>0</v>
      </c>
      <c r="Z193" s="56" t="n">
        <f aca="false">ROUND(P192*(1+N(Debts!$D$5)/12),2)</f>
        <v>0</v>
      </c>
      <c r="AA193" s="56" t="n">
        <f aca="false">ROUND(Q192*(1+N(Debts!$D$6)/12),2)</f>
        <v>0</v>
      </c>
      <c r="AB193" s="56" t="n">
        <f aca="false">ROUND(R192*(1+N(Debts!$D$7)/12),2)</f>
        <v>0</v>
      </c>
      <c r="AC193" s="56" t="n">
        <f aca="false">ROUND(S192*(1+N(Debts!$D$8)/12),2)</f>
        <v>0</v>
      </c>
      <c r="AD193" s="56" t="n">
        <f aca="false">ROUND(T192*(1+N(Debts!$D$9)/12),2)</f>
        <v>0</v>
      </c>
      <c r="AE193" s="56" t="n">
        <f aca="false">ROUND(U192*(1+N(Debts!$D$10)/12),2)</f>
        <v>0</v>
      </c>
      <c r="AF193" s="56" t="n">
        <f aca="false">ROUND(V192*(1+N(Debts!$D$11)/12),2)</f>
        <v>0</v>
      </c>
      <c r="AG193" s="56" t="n">
        <f aca="false">ROUND(W192*(1+N(Debts!$D$12)/12),2)</f>
        <v>0</v>
      </c>
      <c r="AH193" s="56" t="n">
        <f aca="false">ROUND(X192*(1+N(Debts!$D$13)/12),2)</f>
        <v>0</v>
      </c>
      <c r="AI193" s="56" t="n">
        <f aca="false">ROUND(Y192*(1+N(Debts!$D$14)/12),2)</f>
        <v>0</v>
      </c>
      <c r="AJ193" s="56" t="n">
        <f aca="false">MIN(Z193,MAX(0,N(Debts!$E$5)))</f>
        <v>0</v>
      </c>
      <c r="AK193" s="56" t="n">
        <f aca="false">MIN(AA193,MAX(0,N(Debts!$E$6)))</f>
        <v>0</v>
      </c>
      <c r="AL193" s="56" t="n">
        <f aca="false">MIN(AB193,MAX(0,N(Debts!$E$7)))</f>
        <v>0</v>
      </c>
      <c r="AM193" s="56" t="n">
        <f aca="false">MIN(AC193,MAX(0,N(Debts!$E$8)))</f>
        <v>0</v>
      </c>
      <c r="AN193" s="56" t="n">
        <f aca="false">MIN(AD193,MAX(0,N(Debts!$E$9)))</f>
        <v>0</v>
      </c>
      <c r="AO193" s="56" t="n">
        <f aca="false">MIN(AE193,MAX(0,N(Debts!$E$10)))</f>
        <v>0</v>
      </c>
      <c r="AP193" s="56" t="n">
        <f aca="false">MIN(AF193,MAX(0,N(Debts!$E$11)))</f>
        <v>0</v>
      </c>
      <c r="AQ193" s="56" t="n">
        <f aca="false">MIN(AG193,MAX(0,N(Debts!$E$12)))</f>
        <v>0</v>
      </c>
      <c r="AR193" s="56" t="n">
        <f aca="false">MIN(AH193,MAX(0,N(Debts!$E$13)))</f>
        <v>0</v>
      </c>
      <c r="AS193" s="56" t="n">
        <f aca="false">MIN(AI193,MAX(0,N(Debts!$E$14)))</f>
        <v>0</v>
      </c>
    </row>
    <row r="194" customFormat="false" ht="15" hidden="false" customHeight="false" outlineLevel="0" collapsed="false">
      <c r="A194" s="53" t="n">
        <v>190</v>
      </c>
      <c r="B194" s="54" t="n">
        <f aca="false">EDATE('Start Here'!$B$8,189)</f>
        <v>52079</v>
      </c>
      <c r="C194" s="42" t="n">
        <f aca="false">SUM(F194:O194)</f>
        <v>0</v>
      </c>
      <c r="D194" s="42" t="n">
        <f aca="false">ROUND(SUM($Z194:$AI194)-SUM(P193:Y193),2)</f>
        <v>0</v>
      </c>
      <c r="E194" s="55" t="n">
        <f aca="false">SUM(P194:Y194)</f>
        <v>0</v>
      </c>
      <c r="F194" s="42" t="n">
        <f aca="false">AJ194+MIN(Z194-AJ194,MAX(0,'Start Here'!$B$10-SUM($AJ194:$AS194)-SUMPRODUCT(($Z$3:$AI$3&lt;Z$3)*($Z194:$AI194-$AJ194:$AS194))))</f>
        <v>0</v>
      </c>
      <c r="G194" s="42" t="n">
        <f aca="false">AK194+MIN(AA194-AK194,MAX(0,'Start Here'!$B$10-SUM($AJ194:$AS194)-SUMPRODUCT(($Z$3:$AI$3&lt;AA$3)*($Z194:$AI194-$AJ194:$AS194))))</f>
        <v>0</v>
      </c>
      <c r="H194" s="42" t="n">
        <f aca="false">AL194+MIN(AB194-AL194,MAX(0,'Start Here'!$B$10-SUM($AJ194:$AS194)-SUMPRODUCT(($Z$3:$AI$3&lt;AB$3)*($Z194:$AI194-$AJ194:$AS194))))</f>
        <v>0</v>
      </c>
      <c r="I194" s="42" t="n">
        <f aca="false">AM194+MIN(AC194-AM194,MAX(0,'Start Here'!$B$10-SUM($AJ194:$AS194)-SUMPRODUCT(($Z$3:$AI$3&lt;AC$3)*($Z194:$AI194-$AJ194:$AS194))))</f>
        <v>0</v>
      </c>
      <c r="J194" s="42" t="n">
        <f aca="false">AN194+MIN(AD194-AN194,MAX(0,'Start Here'!$B$10-SUM($AJ194:$AS194)-SUMPRODUCT(($Z$3:$AI$3&lt;AD$3)*($Z194:$AI194-$AJ194:$AS194))))</f>
        <v>0</v>
      </c>
      <c r="K194" s="42" t="n">
        <f aca="false">AO194+MIN(AE194-AO194,MAX(0,'Start Here'!$B$10-SUM($AJ194:$AS194)-SUMPRODUCT(($Z$3:$AI$3&lt;AE$3)*($Z194:$AI194-$AJ194:$AS194))))</f>
        <v>0</v>
      </c>
      <c r="L194" s="42" t="n">
        <f aca="false">AP194+MIN(AF194-AP194,MAX(0,'Start Here'!$B$10-SUM($AJ194:$AS194)-SUMPRODUCT(($Z$3:$AI$3&lt;AF$3)*($Z194:$AI194-$AJ194:$AS194))))</f>
        <v>0</v>
      </c>
      <c r="M194" s="42" t="n">
        <f aca="false">AQ194+MIN(AG194-AQ194,MAX(0,'Start Here'!$B$10-SUM($AJ194:$AS194)-SUMPRODUCT(($Z$3:$AI$3&lt;AG$3)*($Z194:$AI194-$AJ194:$AS194))))</f>
        <v>0</v>
      </c>
      <c r="N194" s="42" t="n">
        <f aca="false">AR194+MIN(AH194-AR194,MAX(0,'Start Here'!$B$10-SUM($AJ194:$AS194)-SUMPRODUCT(($Z$3:$AI$3&lt;AH$3)*($Z194:$AI194-$AJ194:$AS194))))</f>
        <v>0</v>
      </c>
      <c r="O194" s="42" t="n">
        <f aca="false">AS194+MIN(AI194-AS194,MAX(0,'Start Here'!$B$10-SUM($AJ194:$AS194)-SUMPRODUCT(($Z$3:$AI$3&lt;AI$3)*($Z194:$AI194-$AJ194:$AS194))))</f>
        <v>0</v>
      </c>
      <c r="P194" s="42" t="n">
        <f aca="false">ROUND(Z194-F194,2)</f>
        <v>0</v>
      </c>
      <c r="Q194" s="42" t="n">
        <f aca="false">ROUND(AA194-G194,2)</f>
        <v>0</v>
      </c>
      <c r="R194" s="42" t="n">
        <f aca="false">ROUND(AB194-H194,2)</f>
        <v>0</v>
      </c>
      <c r="S194" s="42" t="n">
        <f aca="false">ROUND(AC194-I194,2)</f>
        <v>0</v>
      </c>
      <c r="T194" s="42" t="n">
        <f aca="false">ROUND(AD194-J194,2)</f>
        <v>0</v>
      </c>
      <c r="U194" s="42" t="n">
        <f aca="false">ROUND(AE194-K194,2)</f>
        <v>0</v>
      </c>
      <c r="V194" s="42" t="n">
        <f aca="false">ROUND(AF194-L194,2)</f>
        <v>0</v>
      </c>
      <c r="W194" s="42" t="n">
        <f aca="false">ROUND(AG194-M194,2)</f>
        <v>0</v>
      </c>
      <c r="X194" s="42" t="n">
        <f aca="false">ROUND(AH194-N194,2)</f>
        <v>0</v>
      </c>
      <c r="Y194" s="42" t="n">
        <f aca="false">ROUND(AI194-O194,2)</f>
        <v>0</v>
      </c>
      <c r="Z194" s="56" t="n">
        <f aca="false">ROUND(P193*(1+N(Debts!$D$5)/12),2)</f>
        <v>0</v>
      </c>
      <c r="AA194" s="56" t="n">
        <f aca="false">ROUND(Q193*(1+N(Debts!$D$6)/12),2)</f>
        <v>0</v>
      </c>
      <c r="AB194" s="56" t="n">
        <f aca="false">ROUND(R193*(1+N(Debts!$D$7)/12),2)</f>
        <v>0</v>
      </c>
      <c r="AC194" s="56" t="n">
        <f aca="false">ROUND(S193*(1+N(Debts!$D$8)/12),2)</f>
        <v>0</v>
      </c>
      <c r="AD194" s="56" t="n">
        <f aca="false">ROUND(T193*(1+N(Debts!$D$9)/12),2)</f>
        <v>0</v>
      </c>
      <c r="AE194" s="56" t="n">
        <f aca="false">ROUND(U193*(1+N(Debts!$D$10)/12),2)</f>
        <v>0</v>
      </c>
      <c r="AF194" s="56" t="n">
        <f aca="false">ROUND(V193*(1+N(Debts!$D$11)/12),2)</f>
        <v>0</v>
      </c>
      <c r="AG194" s="56" t="n">
        <f aca="false">ROUND(W193*(1+N(Debts!$D$12)/12),2)</f>
        <v>0</v>
      </c>
      <c r="AH194" s="56" t="n">
        <f aca="false">ROUND(X193*(1+N(Debts!$D$13)/12),2)</f>
        <v>0</v>
      </c>
      <c r="AI194" s="56" t="n">
        <f aca="false">ROUND(Y193*(1+N(Debts!$D$14)/12),2)</f>
        <v>0</v>
      </c>
      <c r="AJ194" s="56" t="n">
        <f aca="false">MIN(Z194,MAX(0,N(Debts!$E$5)))</f>
        <v>0</v>
      </c>
      <c r="AK194" s="56" t="n">
        <f aca="false">MIN(AA194,MAX(0,N(Debts!$E$6)))</f>
        <v>0</v>
      </c>
      <c r="AL194" s="56" t="n">
        <f aca="false">MIN(AB194,MAX(0,N(Debts!$E$7)))</f>
        <v>0</v>
      </c>
      <c r="AM194" s="56" t="n">
        <f aca="false">MIN(AC194,MAX(0,N(Debts!$E$8)))</f>
        <v>0</v>
      </c>
      <c r="AN194" s="56" t="n">
        <f aca="false">MIN(AD194,MAX(0,N(Debts!$E$9)))</f>
        <v>0</v>
      </c>
      <c r="AO194" s="56" t="n">
        <f aca="false">MIN(AE194,MAX(0,N(Debts!$E$10)))</f>
        <v>0</v>
      </c>
      <c r="AP194" s="56" t="n">
        <f aca="false">MIN(AF194,MAX(0,N(Debts!$E$11)))</f>
        <v>0</v>
      </c>
      <c r="AQ194" s="56" t="n">
        <f aca="false">MIN(AG194,MAX(0,N(Debts!$E$12)))</f>
        <v>0</v>
      </c>
      <c r="AR194" s="56" t="n">
        <f aca="false">MIN(AH194,MAX(0,N(Debts!$E$13)))</f>
        <v>0</v>
      </c>
      <c r="AS194" s="56" t="n">
        <f aca="false">MIN(AI194,MAX(0,N(Debts!$E$14)))</f>
        <v>0</v>
      </c>
    </row>
    <row r="195" customFormat="false" ht="15" hidden="false" customHeight="false" outlineLevel="0" collapsed="false">
      <c r="A195" s="53" t="n">
        <v>191</v>
      </c>
      <c r="B195" s="54" t="n">
        <f aca="false">EDATE('Start Here'!$B$8,190)</f>
        <v>52110</v>
      </c>
      <c r="C195" s="42" t="n">
        <f aca="false">SUM(F195:O195)</f>
        <v>0</v>
      </c>
      <c r="D195" s="42" t="n">
        <f aca="false">ROUND(SUM($Z195:$AI195)-SUM(P194:Y194),2)</f>
        <v>0</v>
      </c>
      <c r="E195" s="55" t="n">
        <f aca="false">SUM(P195:Y195)</f>
        <v>0</v>
      </c>
      <c r="F195" s="42" t="n">
        <f aca="false">AJ195+MIN(Z195-AJ195,MAX(0,'Start Here'!$B$10-SUM($AJ195:$AS195)-SUMPRODUCT(($Z$3:$AI$3&lt;Z$3)*($Z195:$AI195-$AJ195:$AS195))))</f>
        <v>0</v>
      </c>
      <c r="G195" s="42" t="n">
        <f aca="false">AK195+MIN(AA195-AK195,MAX(0,'Start Here'!$B$10-SUM($AJ195:$AS195)-SUMPRODUCT(($Z$3:$AI$3&lt;AA$3)*($Z195:$AI195-$AJ195:$AS195))))</f>
        <v>0</v>
      </c>
      <c r="H195" s="42" t="n">
        <f aca="false">AL195+MIN(AB195-AL195,MAX(0,'Start Here'!$B$10-SUM($AJ195:$AS195)-SUMPRODUCT(($Z$3:$AI$3&lt;AB$3)*($Z195:$AI195-$AJ195:$AS195))))</f>
        <v>0</v>
      </c>
      <c r="I195" s="42" t="n">
        <f aca="false">AM195+MIN(AC195-AM195,MAX(0,'Start Here'!$B$10-SUM($AJ195:$AS195)-SUMPRODUCT(($Z$3:$AI$3&lt;AC$3)*($Z195:$AI195-$AJ195:$AS195))))</f>
        <v>0</v>
      </c>
      <c r="J195" s="42" t="n">
        <f aca="false">AN195+MIN(AD195-AN195,MAX(0,'Start Here'!$B$10-SUM($AJ195:$AS195)-SUMPRODUCT(($Z$3:$AI$3&lt;AD$3)*($Z195:$AI195-$AJ195:$AS195))))</f>
        <v>0</v>
      </c>
      <c r="K195" s="42" t="n">
        <f aca="false">AO195+MIN(AE195-AO195,MAX(0,'Start Here'!$B$10-SUM($AJ195:$AS195)-SUMPRODUCT(($Z$3:$AI$3&lt;AE$3)*($Z195:$AI195-$AJ195:$AS195))))</f>
        <v>0</v>
      </c>
      <c r="L195" s="42" t="n">
        <f aca="false">AP195+MIN(AF195-AP195,MAX(0,'Start Here'!$B$10-SUM($AJ195:$AS195)-SUMPRODUCT(($Z$3:$AI$3&lt;AF$3)*($Z195:$AI195-$AJ195:$AS195))))</f>
        <v>0</v>
      </c>
      <c r="M195" s="42" t="n">
        <f aca="false">AQ195+MIN(AG195-AQ195,MAX(0,'Start Here'!$B$10-SUM($AJ195:$AS195)-SUMPRODUCT(($Z$3:$AI$3&lt;AG$3)*($Z195:$AI195-$AJ195:$AS195))))</f>
        <v>0</v>
      </c>
      <c r="N195" s="42" t="n">
        <f aca="false">AR195+MIN(AH195-AR195,MAX(0,'Start Here'!$B$10-SUM($AJ195:$AS195)-SUMPRODUCT(($Z$3:$AI$3&lt;AH$3)*($Z195:$AI195-$AJ195:$AS195))))</f>
        <v>0</v>
      </c>
      <c r="O195" s="42" t="n">
        <f aca="false">AS195+MIN(AI195-AS195,MAX(0,'Start Here'!$B$10-SUM($AJ195:$AS195)-SUMPRODUCT(($Z$3:$AI$3&lt;AI$3)*($Z195:$AI195-$AJ195:$AS195))))</f>
        <v>0</v>
      </c>
      <c r="P195" s="42" t="n">
        <f aca="false">ROUND(Z195-F195,2)</f>
        <v>0</v>
      </c>
      <c r="Q195" s="42" t="n">
        <f aca="false">ROUND(AA195-G195,2)</f>
        <v>0</v>
      </c>
      <c r="R195" s="42" t="n">
        <f aca="false">ROUND(AB195-H195,2)</f>
        <v>0</v>
      </c>
      <c r="S195" s="42" t="n">
        <f aca="false">ROUND(AC195-I195,2)</f>
        <v>0</v>
      </c>
      <c r="T195" s="42" t="n">
        <f aca="false">ROUND(AD195-J195,2)</f>
        <v>0</v>
      </c>
      <c r="U195" s="42" t="n">
        <f aca="false">ROUND(AE195-K195,2)</f>
        <v>0</v>
      </c>
      <c r="V195" s="42" t="n">
        <f aca="false">ROUND(AF195-L195,2)</f>
        <v>0</v>
      </c>
      <c r="W195" s="42" t="n">
        <f aca="false">ROUND(AG195-M195,2)</f>
        <v>0</v>
      </c>
      <c r="X195" s="42" t="n">
        <f aca="false">ROUND(AH195-N195,2)</f>
        <v>0</v>
      </c>
      <c r="Y195" s="42" t="n">
        <f aca="false">ROUND(AI195-O195,2)</f>
        <v>0</v>
      </c>
      <c r="Z195" s="56" t="n">
        <f aca="false">ROUND(P194*(1+N(Debts!$D$5)/12),2)</f>
        <v>0</v>
      </c>
      <c r="AA195" s="56" t="n">
        <f aca="false">ROUND(Q194*(1+N(Debts!$D$6)/12),2)</f>
        <v>0</v>
      </c>
      <c r="AB195" s="56" t="n">
        <f aca="false">ROUND(R194*(1+N(Debts!$D$7)/12),2)</f>
        <v>0</v>
      </c>
      <c r="AC195" s="56" t="n">
        <f aca="false">ROUND(S194*(1+N(Debts!$D$8)/12),2)</f>
        <v>0</v>
      </c>
      <c r="AD195" s="56" t="n">
        <f aca="false">ROUND(T194*(1+N(Debts!$D$9)/12),2)</f>
        <v>0</v>
      </c>
      <c r="AE195" s="56" t="n">
        <f aca="false">ROUND(U194*(1+N(Debts!$D$10)/12),2)</f>
        <v>0</v>
      </c>
      <c r="AF195" s="56" t="n">
        <f aca="false">ROUND(V194*(1+N(Debts!$D$11)/12),2)</f>
        <v>0</v>
      </c>
      <c r="AG195" s="56" t="n">
        <f aca="false">ROUND(W194*(1+N(Debts!$D$12)/12),2)</f>
        <v>0</v>
      </c>
      <c r="AH195" s="56" t="n">
        <f aca="false">ROUND(X194*(1+N(Debts!$D$13)/12),2)</f>
        <v>0</v>
      </c>
      <c r="AI195" s="56" t="n">
        <f aca="false">ROUND(Y194*(1+N(Debts!$D$14)/12),2)</f>
        <v>0</v>
      </c>
      <c r="AJ195" s="56" t="n">
        <f aca="false">MIN(Z195,MAX(0,N(Debts!$E$5)))</f>
        <v>0</v>
      </c>
      <c r="AK195" s="56" t="n">
        <f aca="false">MIN(AA195,MAX(0,N(Debts!$E$6)))</f>
        <v>0</v>
      </c>
      <c r="AL195" s="56" t="n">
        <f aca="false">MIN(AB195,MAX(0,N(Debts!$E$7)))</f>
        <v>0</v>
      </c>
      <c r="AM195" s="56" t="n">
        <f aca="false">MIN(AC195,MAX(0,N(Debts!$E$8)))</f>
        <v>0</v>
      </c>
      <c r="AN195" s="56" t="n">
        <f aca="false">MIN(AD195,MAX(0,N(Debts!$E$9)))</f>
        <v>0</v>
      </c>
      <c r="AO195" s="56" t="n">
        <f aca="false">MIN(AE195,MAX(0,N(Debts!$E$10)))</f>
        <v>0</v>
      </c>
      <c r="AP195" s="56" t="n">
        <f aca="false">MIN(AF195,MAX(0,N(Debts!$E$11)))</f>
        <v>0</v>
      </c>
      <c r="AQ195" s="56" t="n">
        <f aca="false">MIN(AG195,MAX(0,N(Debts!$E$12)))</f>
        <v>0</v>
      </c>
      <c r="AR195" s="56" t="n">
        <f aca="false">MIN(AH195,MAX(0,N(Debts!$E$13)))</f>
        <v>0</v>
      </c>
      <c r="AS195" s="56" t="n">
        <f aca="false">MIN(AI195,MAX(0,N(Debts!$E$14)))</f>
        <v>0</v>
      </c>
    </row>
    <row r="196" customFormat="false" ht="15" hidden="false" customHeight="false" outlineLevel="0" collapsed="false">
      <c r="A196" s="53" t="n">
        <v>192</v>
      </c>
      <c r="B196" s="54" t="n">
        <f aca="false">EDATE('Start Here'!$B$8,191)</f>
        <v>52140</v>
      </c>
      <c r="C196" s="42" t="n">
        <f aca="false">SUM(F196:O196)</f>
        <v>0</v>
      </c>
      <c r="D196" s="42" t="n">
        <f aca="false">ROUND(SUM($Z196:$AI196)-SUM(P195:Y195),2)</f>
        <v>0</v>
      </c>
      <c r="E196" s="55" t="n">
        <f aca="false">SUM(P196:Y196)</f>
        <v>0</v>
      </c>
      <c r="F196" s="42" t="n">
        <f aca="false">AJ196+MIN(Z196-AJ196,MAX(0,'Start Here'!$B$10-SUM($AJ196:$AS196)-SUMPRODUCT(($Z$3:$AI$3&lt;Z$3)*($Z196:$AI196-$AJ196:$AS196))))</f>
        <v>0</v>
      </c>
      <c r="G196" s="42" t="n">
        <f aca="false">AK196+MIN(AA196-AK196,MAX(0,'Start Here'!$B$10-SUM($AJ196:$AS196)-SUMPRODUCT(($Z$3:$AI$3&lt;AA$3)*($Z196:$AI196-$AJ196:$AS196))))</f>
        <v>0</v>
      </c>
      <c r="H196" s="42" t="n">
        <f aca="false">AL196+MIN(AB196-AL196,MAX(0,'Start Here'!$B$10-SUM($AJ196:$AS196)-SUMPRODUCT(($Z$3:$AI$3&lt;AB$3)*($Z196:$AI196-$AJ196:$AS196))))</f>
        <v>0</v>
      </c>
      <c r="I196" s="42" t="n">
        <f aca="false">AM196+MIN(AC196-AM196,MAX(0,'Start Here'!$B$10-SUM($AJ196:$AS196)-SUMPRODUCT(($Z$3:$AI$3&lt;AC$3)*($Z196:$AI196-$AJ196:$AS196))))</f>
        <v>0</v>
      </c>
      <c r="J196" s="42" t="n">
        <f aca="false">AN196+MIN(AD196-AN196,MAX(0,'Start Here'!$B$10-SUM($AJ196:$AS196)-SUMPRODUCT(($Z$3:$AI$3&lt;AD$3)*($Z196:$AI196-$AJ196:$AS196))))</f>
        <v>0</v>
      </c>
      <c r="K196" s="42" t="n">
        <f aca="false">AO196+MIN(AE196-AO196,MAX(0,'Start Here'!$B$10-SUM($AJ196:$AS196)-SUMPRODUCT(($Z$3:$AI$3&lt;AE$3)*($Z196:$AI196-$AJ196:$AS196))))</f>
        <v>0</v>
      </c>
      <c r="L196" s="42" t="n">
        <f aca="false">AP196+MIN(AF196-AP196,MAX(0,'Start Here'!$B$10-SUM($AJ196:$AS196)-SUMPRODUCT(($Z$3:$AI$3&lt;AF$3)*($Z196:$AI196-$AJ196:$AS196))))</f>
        <v>0</v>
      </c>
      <c r="M196" s="42" t="n">
        <f aca="false">AQ196+MIN(AG196-AQ196,MAX(0,'Start Here'!$B$10-SUM($AJ196:$AS196)-SUMPRODUCT(($Z$3:$AI$3&lt;AG$3)*($Z196:$AI196-$AJ196:$AS196))))</f>
        <v>0</v>
      </c>
      <c r="N196" s="42" t="n">
        <f aca="false">AR196+MIN(AH196-AR196,MAX(0,'Start Here'!$B$10-SUM($AJ196:$AS196)-SUMPRODUCT(($Z$3:$AI$3&lt;AH$3)*($Z196:$AI196-$AJ196:$AS196))))</f>
        <v>0</v>
      </c>
      <c r="O196" s="42" t="n">
        <f aca="false">AS196+MIN(AI196-AS196,MAX(0,'Start Here'!$B$10-SUM($AJ196:$AS196)-SUMPRODUCT(($Z$3:$AI$3&lt;AI$3)*($Z196:$AI196-$AJ196:$AS196))))</f>
        <v>0</v>
      </c>
      <c r="P196" s="42" t="n">
        <f aca="false">ROUND(Z196-F196,2)</f>
        <v>0</v>
      </c>
      <c r="Q196" s="42" t="n">
        <f aca="false">ROUND(AA196-G196,2)</f>
        <v>0</v>
      </c>
      <c r="R196" s="42" t="n">
        <f aca="false">ROUND(AB196-H196,2)</f>
        <v>0</v>
      </c>
      <c r="S196" s="42" t="n">
        <f aca="false">ROUND(AC196-I196,2)</f>
        <v>0</v>
      </c>
      <c r="T196" s="42" t="n">
        <f aca="false">ROUND(AD196-J196,2)</f>
        <v>0</v>
      </c>
      <c r="U196" s="42" t="n">
        <f aca="false">ROUND(AE196-K196,2)</f>
        <v>0</v>
      </c>
      <c r="V196" s="42" t="n">
        <f aca="false">ROUND(AF196-L196,2)</f>
        <v>0</v>
      </c>
      <c r="W196" s="42" t="n">
        <f aca="false">ROUND(AG196-M196,2)</f>
        <v>0</v>
      </c>
      <c r="X196" s="42" t="n">
        <f aca="false">ROUND(AH196-N196,2)</f>
        <v>0</v>
      </c>
      <c r="Y196" s="42" t="n">
        <f aca="false">ROUND(AI196-O196,2)</f>
        <v>0</v>
      </c>
      <c r="Z196" s="56" t="n">
        <f aca="false">ROUND(P195*(1+N(Debts!$D$5)/12),2)</f>
        <v>0</v>
      </c>
      <c r="AA196" s="56" t="n">
        <f aca="false">ROUND(Q195*(1+N(Debts!$D$6)/12),2)</f>
        <v>0</v>
      </c>
      <c r="AB196" s="56" t="n">
        <f aca="false">ROUND(R195*(1+N(Debts!$D$7)/12),2)</f>
        <v>0</v>
      </c>
      <c r="AC196" s="56" t="n">
        <f aca="false">ROUND(S195*(1+N(Debts!$D$8)/12),2)</f>
        <v>0</v>
      </c>
      <c r="AD196" s="56" t="n">
        <f aca="false">ROUND(T195*(1+N(Debts!$D$9)/12),2)</f>
        <v>0</v>
      </c>
      <c r="AE196" s="56" t="n">
        <f aca="false">ROUND(U195*(1+N(Debts!$D$10)/12),2)</f>
        <v>0</v>
      </c>
      <c r="AF196" s="56" t="n">
        <f aca="false">ROUND(V195*(1+N(Debts!$D$11)/12),2)</f>
        <v>0</v>
      </c>
      <c r="AG196" s="56" t="n">
        <f aca="false">ROUND(W195*(1+N(Debts!$D$12)/12),2)</f>
        <v>0</v>
      </c>
      <c r="AH196" s="56" t="n">
        <f aca="false">ROUND(X195*(1+N(Debts!$D$13)/12),2)</f>
        <v>0</v>
      </c>
      <c r="AI196" s="56" t="n">
        <f aca="false">ROUND(Y195*(1+N(Debts!$D$14)/12),2)</f>
        <v>0</v>
      </c>
      <c r="AJ196" s="56" t="n">
        <f aca="false">MIN(Z196,MAX(0,N(Debts!$E$5)))</f>
        <v>0</v>
      </c>
      <c r="AK196" s="56" t="n">
        <f aca="false">MIN(AA196,MAX(0,N(Debts!$E$6)))</f>
        <v>0</v>
      </c>
      <c r="AL196" s="56" t="n">
        <f aca="false">MIN(AB196,MAX(0,N(Debts!$E$7)))</f>
        <v>0</v>
      </c>
      <c r="AM196" s="56" t="n">
        <f aca="false">MIN(AC196,MAX(0,N(Debts!$E$8)))</f>
        <v>0</v>
      </c>
      <c r="AN196" s="56" t="n">
        <f aca="false">MIN(AD196,MAX(0,N(Debts!$E$9)))</f>
        <v>0</v>
      </c>
      <c r="AO196" s="56" t="n">
        <f aca="false">MIN(AE196,MAX(0,N(Debts!$E$10)))</f>
        <v>0</v>
      </c>
      <c r="AP196" s="56" t="n">
        <f aca="false">MIN(AF196,MAX(0,N(Debts!$E$11)))</f>
        <v>0</v>
      </c>
      <c r="AQ196" s="56" t="n">
        <f aca="false">MIN(AG196,MAX(0,N(Debts!$E$12)))</f>
        <v>0</v>
      </c>
      <c r="AR196" s="56" t="n">
        <f aca="false">MIN(AH196,MAX(0,N(Debts!$E$13)))</f>
        <v>0</v>
      </c>
      <c r="AS196" s="56" t="n">
        <f aca="false">MIN(AI196,MAX(0,N(Debts!$E$14)))</f>
        <v>0</v>
      </c>
    </row>
    <row r="197" customFormat="false" ht="15" hidden="false" customHeight="false" outlineLevel="0" collapsed="false">
      <c r="A197" s="53" t="n">
        <v>193</v>
      </c>
      <c r="B197" s="54" t="n">
        <f aca="false">EDATE('Start Here'!$B$8,192)</f>
        <v>52171</v>
      </c>
      <c r="C197" s="42" t="n">
        <f aca="false">SUM(F197:O197)</f>
        <v>0</v>
      </c>
      <c r="D197" s="42" t="n">
        <f aca="false">ROUND(SUM($Z197:$AI197)-SUM(P196:Y196),2)</f>
        <v>0</v>
      </c>
      <c r="E197" s="55" t="n">
        <f aca="false">SUM(P197:Y197)</f>
        <v>0</v>
      </c>
      <c r="F197" s="42" t="n">
        <f aca="false">AJ197+MIN(Z197-AJ197,MAX(0,'Start Here'!$B$10-SUM($AJ197:$AS197)-SUMPRODUCT(($Z$3:$AI$3&lt;Z$3)*($Z197:$AI197-$AJ197:$AS197))))</f>
        <v>0</v>
      </c>
      <c r="G197" s="42" t="n">
        <f aca="false">AK197+MIN(AA197-AK197,MAX(0,'Start Here'!$B$10-SUM($AJ197:$AS197)-SUMPRODUCT(($Z$3:$AI$3&lt;AA$3)*($Z197:$AI197-$AJ197:$AS197))))</f>
        <v>0</v>
      </c>
      <c r="H197" s="42" t="n">
        <f aca="false">AL197+MIN(AB197-AL197,MAX(0,'Start Here'!$B$10-SUM($AJ197:$AS197)-SUMPRODUCT(($Z$3:$AI$3&lt;AB$3)*($Z197:$AI197-$AJ197:$AS197))))</f>
        <v>0</v>
      </c>
      <c r="I197" s="42" t="n">
        <f aca="false">AM197+MIN(AC197-AM197,MAX(0,'Start Here'!$B$10-SUM($AJ197:$AS197)-SUMPRODUCT(($Z$3:$AI$3&lt;AC$3)*($Z197:$AI197-$AJ197:$AS197))))</f>
        <v>0</v>
      </c>
      <c r="J197" s="42" t="n">
        <f aca="false">AN197+MIN(AD197-AN197,MAX(0,'Start Here'!$B$10-SUM($AJ197:$AS197)-SUMPRODUCT(($Z$3:$AI$3&lt;AD$3)*($Z197:$AI197-$AJ197:$AS197))))</f>
        <v>0</v>
      </c>
      <c r="K197" s="42" t="n">
        <f aca="false">AO197+MIN(AE197-AO197,MAX(0,'Start Here'!$B$10-SUM($AJ197:$AS197)-SUMPRODUCT(($Z$3:$AI$3&lt;AE$3)*($Z197:$AI197-$AJ197:$AS197))))</f>
        <v>0</v>
      </c>
      <c r="L197" s="42" t="n">
        <f aca="false">AP197+MIN(AF197-AP197,MAX(0,'Start Here'!$B$10-SUM($AJ197:$AS197)-SUMPRODUCT(($Z$3:$AI$3&lt;AF$3)*($Z197:$AI197-$AJ197:$AS197))))</f>
        <v>0</v>
      </c>
      <c r="M197" s="42" t="n">
        <f aca="false">AQ197+MIN(AG197-AQ197,MAX(0,'Start Here'!$B$10-SUM($AJ197:$AS197)-SUMPRODUCT(($Z$3:$AI$3&lt;AG$3)*($Z197:$AI197-$AJ197:$AS197))))</f>
        <v>0</v>
      </c>
      <c r="N197" s="42" t="n">
        <f aca="false">AR197+MIN(AH197-AR197,MAX(0,'Start Here'!$B$10-SUM($AJ197:$AS197)-SUMPRODUCT(($Z$3:$AI$3&lt;AH$3)*($Z197:$AI197-$AJ197:$AS197))))</f>
        <v>0</v>
      </c>
      <c r="O197" s="42" t="n">
        <f aca="false">AS197+MIN(AI197-AS197,MAX(0,'Start Here'!$B$10-SUM($AJ197:$AS197)-SUMPRODUCT(($Z$3:$AI$3&lt;AI$3)*($Z197:$AI197-$AJ197:$AS197))))</f>
        <v>0</v>
      </c>
      <c r="P197" s="42" t="n">
        <f aca="false">ROUND(Z197-F197,2)</f>
        <v>0</v>
      </c>
      <c r="Q197" s="42" t="n">
        <f aca="false">ROUND(AA197-G197,2)</f>
        <v>0</v>
      </c>
      <c r="R197" s="42" t="n">
        <f aca="false">ROUND(AB197-H197,2)</f>
        <v>0</v>
      </c>
      <c r="S197" s="42" t="n">
        <f aca="false">ROUND(AC197-I197,2)</f>
        <v>0</v>
      </c>
      <c r="T197" s="42" t="n">
        <f aca="false">ROUND(AD197-J197,2)</f>
        <v>0</v>
      </c>
      <c r="U197" s="42" t="n">
        <f aca="false">ROUND(AE197-K197,2)</f>
        <v>0</v>
      </c>
      <c r="V197" s="42" t="n">
        <f aca="false">ROUND(AF197-L197,2)</f>
        <v>0</v>
      </c>
      <c r="W197" s="42" t="n">
        <f aca="false">ROUND(AG197-M197,2)</f>
        <v>0</v>
      </c>
      <c r="X197" s="42" t="n">
        <f aca="false">ROUND(AH197-N197,2)</f>
        <v>0</v>
      </c>
      <c r="Y197" s="42" t="n">
        <f aca="false">ROUND(AI197-O197,2)</f>
        <v>0</v>
      </c>
      <c r="Z197" s="56" t="n">
        <f aca="false">ROUND(P196*(1+N(Debts!$D$5)/12),2)</f>
        <v>0</v>
      </c>
      <c r="AA197" s="56" t="n">
        <f aca="false">ROUND(Q196*(1+N(Debts!$D$6)/12),2)</f>
        <v>0</v>
      </c>
      <c r="AB197" s="56" t="n">
        <f aca="false">ROUND(R196*(1+N(Debts!$D$7)/12),2)</f>
        <v>0</v>
      </c>
      <c r="AC197" s="56" t="n">
        <f aca="false">ROUND(S196*(1+N(Debts!$D$8)/12),2)</f>
        <v>0</v>
      </c>
      <c r="AD197" s="56" t="n">
        <f aca="false">ROUND(T196*(1+N(Debts!$D$9)/12),2)</f>
        <v>0</v>
      </c>
      <c r="AE197" s="56" t="n">
        <f aca="false">ROUND(U196*(1+N(Debts!$D$10)/12),2)</f>
        <v>0</v>
      </c>
      <c r="AF197" s="56" t="n">
        <f aca="false">ROUND(V196*(1+N(Debts!$D$11)/12),2)</f>
        <v>0</v>
      </c>
      <c r="AG197" s="56" t="n">
        <f aca="false">ROUND(W196*(1+N(Debts!$D$12)/12),2)</f>
        <v>0</v>
      </c>
      <c r="AH197" s="56" t="n">
        <f aca="false">ROUND(X196*(1+N(Debts!$D$13)/12),2)</f>
        <v>0</v>
      </c>
      <c r="AI197" s="56" t="n">
        <f aca="false">ROUND(Y196*(1+N(Debts!$D$14)/12),2)</f>
        <v>0</v>
      </c>
      <c r="AJ197" s="56" t="n">
        <f aca="false">MIN(Z197,MAX(0,N(Debts!$E$5)))</f>
        <v>0</v>
      </c>
      <c r="AK197" s="56" t="n">
        <f aca="false">MIN(AA197,MAX(0,N(Debts!$E$6)))</f>
        <v>0</v>
      </c>
      <c r="AL197" s="56" t="n">
        <f aca="false">MIN(AB197,MAX(0,N(Debts!$E$7)))</f>
        <v>0</v>
      </c>
      <c r="AM197" s="56" t="n">
        <f aca="false">MIN(AC197,MAX(0,N(Debts!$E$8)))</f>
        <v>0</v>
      </c>
      <c r="AN197" s="56" t="n">
        <f aca="false">MIN(AD197,MAX(0,N(Debts!$E$9)))</f>
        <v>0</v>
      </c>
      <c r="AO197" s="56" t="n">
        <f aca="false">MIN(AE197,MAX(0,N(Debts!$E$10)))</f>
        <v>0</v>
      </c>
      <c r="AP197" s="56" t="n">
        <f aca="false">MIN(AF197,MAX(0,N(Debts!$E$11)))</f>
        <v>0</v>
      </c>
      <c r="AQ197" s="56" t="n">
        <f aca="false">MIN(AG197,MAX(0,N(Debts!$E$12)))</f>
        <v>0</v>
      </c>
      <c r="AR197" s="56" t="n">
        <f aca="false">MIN(AH197,MAX(0,N(Debts!$E$13)))</f>
        <v>0</v>
      </c>
      <c r="AS197" s="56" t="n">
        <f aca="false">MIN(AI197,MAX(0,N(Debts!$E$14)))</f>
        <v>0</v>
      </c>
    </row>
    <row r="198" customFormat="false" ht="15" hidden="false" customHeight="false" outlineLevel="0" collapsed="false">
      <c r="A198" s="53" t="n">
        <v>194</v>
      </c>
      <c r="B198" s="54" t="n">
        <f aca="false">EDATE('Start Here'!$B$8,193)</f>
        <v>52201</v>
      </c>
      <c r="C198" s="42" t="n">
        <f aca="false">SUM(F198:O198)</f>
        <v>0</v>
      </c>
      <c r="D198" s="42" t="n">
        <f aca="false">ROUND(SUM($Z198:$AI198)-SUM(P197:Y197),2)</f>
        <v>0</v>
      </c>
      <c r="E198" s="55" t="n">
        <f aca="false">SUM(P198:Y198)</f>
        <v>0</v>
      </c>
      <c r="F198" s="42" t="n">
        <f aca="false">AJ198+MIN(Z198-AJ198,MAX(0,'Start Here'!$B$10-SUM($AJ198:$AS198)-SUMPRODUCT(($Z$3:$AI$3&lt;Z$3)*($Z198:$AI198-$AJ198:$AS198))))</f>
        <v>0</v>
      </c>
      <c r="G198" s="42" t="n">
        <f aca="false">AK198+MIN(AA198-AK198,MAX(0,'Start Here'!$B$10-SUM($AJ198:$AS198)-SUMPRODUCT(($Z$3:$AI$3&lt;AA$3)*($Z198:$AI198-$AJ198:$AS198))))</f>
        <v>0</v>
      </c>
      <c r="H198" s="42" t="n">
        <f aca="false">AL198+MIN(AB198-AL198,MAX(0,'Start Here'!$B$10-SUM($AJ198:$AS198)-SUMPRODUCT(($Z$3:$AI$3&lt;AB$3)*($Z198:$AI198-$AJ198:$AS198))))</f>
        <v>0</v>
      </c>
      <c r="I198" s="42" t="n">
        <f aca="false">AM198+MIN(AC198-AM198,MAX(0,'Start Here'!$B$10-SUM($AJ198:$AS198)-SUMPRODUCT(($Z$3:$AI$3&lt;AC$3)*($Z198:$AI198-$AJ198:$AS198))))</f>
        <v>0</v>
      </c>
      <c r="J198" s="42" t="n">
        <f aca="false">AN198+MIN(AD198-AN198,MAX(0,'Start Here'!$B$10-SUM($AJ198:$AS198)-SUMPRODUCT(($Z$3:$AI$3&lt;AD$3)*($Z198:$AI198-$AJ198:$AS198))))</f>
        <v>0</v>
      </c>
      <c r="K198" s="42" t="n">
        <f aca="false">AO198+MIN(AE198-AO198,MAX(0,'Start Here'!$B$10-SUM($AJ198:$AS198)-SUMPRODUCT(($Z$3:$AI$3&lt;AE$3)*($Z198:$AI198-$AJ198:$AS198))))</f>
        <v>0</v>
      </c>
      <c r="L198" s="42" t="n">
        <f aca="false">AP198+MIN(AF198-AP198,MAX(0,'Start Here'!$B$10-SUM($AJ198:$AS198)-SUMPRODUCT(($Z$3:$AI$3&lt;AF$3)*($Z198:$AI198-$AJ198:$AS198))))</f>
        <v>0</v>
      </c>
      <c r="M198" s="42" t="n">
        <f aca="false">AQ198+MIN(AG198-AQ198,MAX(0,'Start Here'!$B$10-SUM($AJ198:$AS198)-SUMPRODUCT(($Z$3:$AI$3&lt;AG$3)*($Z198:$AI198-$AJ198:$AS198))))</f>
        <v>0</v>
      </c>
      <c r="N198" s="42" t="n">
        <f aca="false">AR198+MIN(AH198-AR198,MAX(0,'Start Here'!$B$10-SUM($AJ198:$AS198)-SUMPRODUCT(($Z$3:$AI$3&lt;AH$3)*($Z198:$AI198-$AJ198:$AS198))))</f>
        <v>0</v>
      </c>
      <c r="O198" s="42" t="n">
        <f aca="false">AS198+MIN(AI198-AS198,MAX(0,'Start Here'!$B$10-SUM($AJ198:$AS198)-SUMPRODUCT(($Z$3:$AI$3&lt;AI$3)*($Z198:$AI198-$AJ198:$AS198))))</f>
        <v>0</v>
      </c>
      <c r="P198" s="42" t="n">
        <f aca="false">ROUND(Z198-F198,2)</f>
        <v>0</v>
      </c>
      <c r="Q198" s="42" t="n">
        <f aca="false">ROUND(AA198-G198,2)</f>
        <v>0</v>
      </c>
      <c r="R198" s="42" t="n">
        <f aca="false">ROUND(AB198-H198,2)</f>
        <v>0</v>
      </c>
      <c r="S198" s="42" t="n">
        <f aca="false">ROUND(AC198-I198,2)</f>
        <v>0</v>
      </c>
      <c r="T198" s="42" t="n">
        <f aca="false">ROUND(AD198-J198,2)</f>
        <v>0</v>
      </c>
      <c r="U198" s="42" t="n">
        <f aca="false">ROUND(AE198-K198,2)</f>
        <v>0</v>
      </c>
      <c r="V198" s="42" t="n">
        <f aca="false">ROUND(AF198-L198,2)</f>
        <v>0</v>
      </c>
      <c r="W198" s="42" t="n">
        <f aca="false">ROUND(AG198-M198,2)</f>
        <v>0</v>
      </c>
      <c r="X198" s="42" t="n">
        <f aca="false">ROUND(AH198-N198,2)</f>
        <v>0</v>
      </c>
      <c r="Y198" s="42" t="n">
        <f aca="false">ROUND(AI198-O198,2)</f>
        <v>0</v>
      </c>
      <c r="Z198" s="56" t="n">
        <f aca="false">ROUND(P197*(1+N(Debts!$D$5)/12),2)</f>
        <v>0</v>
      </c>
      <c r="AA198" s="56" t="n">
        <f aca="false">ROUND(Q197*(1+N(Debts!$D$6)/12),2)</f>
        <v>0</v>
      </c>
      <c r="AB198" s="56" t="n">
        <f aca="false">ROUND(R197*(1+N(Debts!$D$7)/12),2)</f>
        <v>0</v>
      </c>
      <c r="AC198" s="56" t="n">
        <f aca="false">ROUND(S197*(1+N(Debts!$D$8)/12),2)</f>
        <v>0</v>
      </c>
      <c r="AD198" s="56" t="n">
        <f aca="false">ROUND(T197*(1+N(Debts!$D$9)/12),2)</f>
        <v>0</v>
      </c>
      <c r="AE198" s="56" t="n">
        <f aca="false">ROUND(U197*(1+N(Debts!$D$10)/12),2)</f>
        <v>0</v>
      </c>
      <c r="AF198" s="56" t="n">
        <f aca="false">ROUND(V197*(1+N(Debts!$D$11)/12),2)</f>
        <v>0</v>
      </c>
      <c r="AG198" s="56" t="n">
        <f aca="false">ROUND(W197*(1+N(Debts!$D$12)/12),2)</f>
        <v>0</v>
      </c>
      <c r="AH198" s="56" t="n">
        <f aca="false">ROUND(X197*(1+N(Debts!$D$13)/12),2)</f>
        <v>0</v>
      </c>
      <c r="AI198" s="56" t="n">
        <f aca="false">ROUND(Y197*(1+N(Debts!$D$14)/12),2)</f>
        <v>0</v>
      </c>
      <c r="AJ198" s="56" t="n">
        <f aca="false">MIN(Z198,MAX(0,N(Debts!$E$5)))</f>
        <v>0</v>
      </c>
      <c r="AK198" s="56" t="n">
        <f aca="false">MIN(AA198,MAX(0,N(Debts!$E$6)))</f>
        <v>0</v>
      </c>
      <c r="AL198" s="56" t="n">
        <f aca="false">MIN(AB198,MAX(0,N(Debts!$E$7)))</f>
        <v>0</v>
      </c>
      <c r="AM198" s="56" t="n">
        <f aca="false">MIN(AC198,MAX(0,N(Debts!$E$8)))</f>
        <v>0</v>
      </c>
      <c r="AN198" s="56" t="n">
        <f aca="false">MIN(AD198,MAX(0,N(Debts!$E$9)))</f>
        <v>0</v>
      </c>
      <c r="AO198" s="56" t="n">
        <f aca="false">MIN(AE198,MAX(0,N(Debts!$E$10)))</f>
        <v>0</v>
      </c>
      <c r="AP198" s="56" t="n">
        <f aca="false">MIN(AF198,MAX(0,N(Debts!$E$11)))</f>
        <v>0</v>
      </c>
      <c r="AQ198" s="56" t="n">
        <f aca="false">MIN(AG198,MAX(0,N(Debts!$E$12)))</f>
        <v>0</v>
      </c>
      <c r="AR198" s="56" t="n">
        <f aca="false">MIN(AH198,MAX(0,N(Debts!$E$13)))</f>
        <v>0</v>
      </c>
      <c r="AS198" s="56" t="n">
        <f aca="false">MIN(AI198,MAX(0,N(Debts!$E$14)))</f>
        <v>0</v>
      </c>
    </row>
    <row r="199" customFormat="false" ht="15" hidden="false" customHeight="false" outlineLevel="0" collapsed="false">
      <c r="A199" s="53" t="n">
        <v>195</v>
      </c>
      <c r="B199" s="54" t="n">
        <f aca="false">EDATE('Start Here'!$B$8,194)</f>
        <v>52232</v>
      </c>
      <c r="C199" s="42" t="n">
        <f aca="false">SUM(F199:O199)</f>
        <v>0</v>
      </c>
      <c r="D199" s="42" t="n">
        <f aca="false">ROUND(SUM($Z199:$AI199)-SUM(P198:Y198),2)</f>
        <v>0</v>
      </c>
      <c r="E199" s="55" t="n">
        <f aca="false">SUM(P199:Y199)</f>
        <v>0</v>
      </c>
      <c r="F199" s="42" t="n">
        <f aca="false">AJ199+MIN(Z199-AJ199,MAX(0,'Start Here'!$B$10-SUM($AJ199:$AS199)-SUMPRODUCT(($Z$3:$AI$3&lt;Z$3)*($Z199:$AI199-$AJ199:$AS199))))</f>
        <v>0</v>
      </c>
      <c r="G199" s="42" t="n">
        <f aca="false">AK199+MIN(AA199-AK199,MAX(0,'Start Here'!$B$10-SUM($AJ199:$AS199)-SUMPRODUCT(($Z$3:$AI$3&lt;AA$3)*($Z199:$AI199-$AJ199:$AS199))))</f>
        <v>0</v>
      </c>
      <c r="H199" s="42" t="n">
        <f aca="false">AL199+MIN(AB199-AL199,MAX(0,'Start Here'!$B$10-SUM($AJ199:$AS199)-SUMPRODUCT(($Z$3:$AI$3&lt;AB$3)*($Z199:$AI199-$AJ199:$AS199))))</f>
        <v>0</v>
      </c>
      <c r="I199" s="42" t="n">
        <f aca="false">AM199+MIN(AC199-AM199,MAX(0,'Start Here'!$B$10-SUM($AJ199:$AS199)-SUMPRODUCT(($Z$3:$AI$3&lt;AC$3)*($Z199:$AI199-$AJ199:$AS199))))</f>
        <v>0</v>
      </c>
      <c r="J199" s="42" t="n">
        <f aca="false">AN199+MIN(AD199-AN199,MAX(0,'Start Here'!$B$10-SUM($AJ199:$AS199)-SUMPRODUCT(($Z$3:$AI$3&lt;AD$3)*($Z199:$AI199-$AJ199:$AS199))))</f>
        <v>0</v>
      </c>
      <c r="K199" s="42" t="n">
        <f aca="false">AO199+MIN(AE199-AO199,MAX(0,'Start Here'!$B$10-SUM($AJ199:$AS199)-SUMPRODUCT(($Z$3:$AI$3&lt;AE$3)*($Z199:$AI199-$AJ199:$AS199))))</f>
        <v>0</v>
      </c>
      <c r="L199" s="42" t="n">
        <f aca="false">AP199+MIN(AF199-AP199,MAX(0,'Start Here'!$B$10-SUM($AJ199:$AS199)-SUMPRODUCT(($Z$3:$AI$3&lt;AF$3)*($Z199:$AI199-$AJ199:$AS199))))</f>
        <v>0</v>
      </c>
      <c r="M199" s="42" t="n">
        <f aca="false">AQ199+MIN(AG199-AQ199,MAX(0,'Start Here'!$B$10-SUM($AJ199:$AS199)-SUMPRODUCT(($Z$3:$AI$3&lt;AG$3)*($Z199:$AI199-$AJ199:$AS199))))</f>
        <v>0</v>
      </c>
      <c r="N199" s="42" t="n">
        <f aca="false">AR199+MIN(AH199-AR199,MAX(0,'Start Here'!$B$10-SUM($AJ199:$AS199)-SUMPRODUCT(($Z$3:$AI$3&lt;AH$3)*($Z199:$AI199-$AJ199:$AS199))))</f>
        <v>0</v>
      </c>
      <c r="O199" s="42" t="n">
        <f aca="false">AS199+MIN(AI199-AS199,MAX(0,'Start Here'!$B$10-SUM($AJ199:$AS199)-SUMPRODUCT(($Z$3:$AI$3&lt;AI$3)*($Z199:$AI199-$AJ199:$AS199))))</f>
        <v>0</v>
      </c>
      <c r="P199" s="42" t="n">
        <f aca="false">ROUND(Z199-F199,2)</f>
        <v>0</v>
      </c>
      <c r="Q199" s="42" t="n">
        <f aca="false">ROUND(AA199-G199,2)</f>
        <v>0</v>
      </c>
      <c r="R199" s="42" t="n">
        <f aca="false">ROUND(AB199-H199,2)</f>
        <v>0</v>
      </c>
      <c r="S199" s="42" t="n">
        <f aca="false">ROUND(AC199-I199,2)</f>
        <v>0</v>
      </c>
      <c r="T199" s="42" t="n">
        <f aca="false">ROUND(AD199-J199,2)</f>
        <v>0</v>
      </c>
      <c r="U199" s="42" t="n">
        <f aca="false">ROUND(AE199-K199,2)</f>
        <v>0</v>
      </c>
      <c r="V199" s="42" t="n">
        <f aca="false">ROUND(AF199-L199,2)</f>
        <v>0</v>
      </c>
      <c r="W199" s="42" t="n">
        <f aca="false">ROUND(AG199-M199,2)</f>
        <v>0</v>
      </c>
      <c r="X199" s="42" t="n">
        <f aca="false">ROUND(AH199-N199,2)</f>
        <v>0</v>
      </c>
      <c r="Y199" s="42" t="n">
        <f aca="false">ROUND(AI199-O199,2)</f>
        <v>0</v>
      </c>
      <c r="Z199" s="56" t="n">
        <f aca="false">ROUND(P198*(1+N(Debts!$D$5)/12),2)</f>
        <v>0</v>
      </c>
      <c r="AA199" s="56" t="n">
        <f aca="false">ROUND(Q198*(1+N(Debts!$D$6)/12),2)</f>
        <v>0</v>
      </c>
      <c r="AB199" s="56" t="n">
        <f aca="false">ROUND(R198*(1+N(Debts!$D$7)/12),2)</f>
        <v>0</v>
      </c>
      <c r="AC199" s="56" t="n">
        <f aca="false">ROUND(S198*(1+N(Debts!$D$8)/12),2)</f>
        <v>0</v>
      </c>
      <c r="AD199" s="56" t="n">
        <f aca="false">ROUND(T198*(1+N(Debts!$D$9)/12),2)</f>
        <v>0</v>
      </c>
      <c r="AE199" s="56" t="n">
        <f aca="false">ROUND(U198*(1+N(Debts!$D$10)/12),2)</f>
        <v>0</v>
      </c>
      <c r="AF199" s="56" t="n">
        <f aca="false">ROUND(V198*(1+N(Debts!$D$11)/12),2)</f>
        <v>0</v>
      </c>
      <c r="AG199" s="56" t="n">
        <f aca="false">ROUND(W198*(1+N(Debts!$D$12)/12),2)</f>
        <v>0</v>
      </c>
      <c r="AH199" s="56" t="n">
        <f aca="false">ROUND(X198*(1+N(Debts!$D$13)/12),2)</f>
        <v>0</v>
      </c>
      <c r="AI199" s="56" t="n">
        <f aca="false">ROUND(Y198*(1+N(Debts!$D$14)/12),2)</f>
        <v>0</v>
      </c>
      <c r="AJ199" s="56" t="n">
        <f aca="false">MIN(Z199,MAX(0,N(Debts!$E$5)))</f>
        <v>0</v>
      </c>
      <c r="AK199" s="56" t="n">
        <f aca="false">MIN(AA199,MAX(0,N(Debts!$E$6)))</f>
        <v>0</v>
      </c>
      <c r="AL199" s="56" t="n">
        <f aca="false">MIN(AB199,MAX(0,N(Debts!$E$7)))</f>
        <v>0</v>
      </c>
      <c r="AM199" s="56" t="n">
        <f aca="false">MIN(AC199,MAX(0,N(Debts!$E$8)))</f>
        <v>0</v>
      </c>
      <c r="AN199" s="56" t="n">
        <f aca="false">MIN(AD199,MAX(0,N(Debts!$E$9)))</f>
        <v>0</v>
      </c>
      <c r="AO199" s="56" t="n">
        <f aca="false">MIN(AE199,MAX(0,N(Debts!$E$10)))</f>
        <v>0</v>
      </c>
      <c r="AP199" s="56" t="n">
        <f aca="false">MIN(AF199,MAX(0,N(Debts!$E$11)))</f>
        <v>0</v>
      </c>
      <c r="AQ199" s="56" t="n">
        <f aca="false">MIN(AG199,MAX(0,N(Debts!$E$12)))</f>
        <v>0</v>
      </c>
      <c r="AR199" s="56" t="n">
        <f aca="false">MIN(AH199,MAX(0,N(Debts!$E$13)))</f>
        <v>0</v>
      </c>
      <c r="AS199" s="56" t="n">
        <f aca="false">MIN(AI199,MAX(0,N(Debts!$E$14)))</f>
        <v>0</v>
      </c>
    </row>
    <row r="200" customFormat="false" ht="15" hidden="false" customHeight="false" outlineLevel="0" collapsed="false">
      <c r="A200" s="53" t="n">
        <v>196</v>
      </c>
      <c r="B200" s="54" t="n">
        <f aca="false">EDATE('Start Here'!$B$8,195)</f>
        <v>52263</v>
      </c>
      <c r="C200" s="42" t="n">
        <f aca="false">SUM(F200:O200)</f>
        <v>0</v>
      </c>
      <c r="D200" s="42" t="n">
        <f aca="false">ROUND(SUM($Z200:$AI200)-SUM(P199:Y199),2)</f>
        <v>0</v>
      </c>
      <c r="E200" s="55" t="n">
        <f aca="false">SUM(P200:Y200)</f>
        <v>0</v>
      </c>
      <c r="F200" s="42" t="n">
        <f aca="false">AJ200+MIN(Z200-AJ200,MAX(0,'Start Here'!$B$10-SUM($AJ200:$AS200)-SUMPRODUCT(($Z$3:$AI$3&lt;Z$3)*($Z200:$AI200-$AJ200:$AS200))))</f>
        <v>0</v>
      </c>
      <c r="G200" s="42" t="n">
        <f aca="false">AK200+MIN(AA200-AK200,MAX(0,'Start Here'!$B$10-SUM($AJ200:$AS200)-SUMPRODUCT(($Z$3:$AI$3&lt;AA$3)*($Z200:$AI200-$AJ200:$AS200))))</f>
        <v>0</v>
      </c>
      <c r="H200" s="42" t="n">
        <f aca="false">AL200+MIN(AB200-AL200,MAX(0,'Start Here'!$B$10-SUM($AJ200:$AS200)-SUMPRODUCT(($Z$3:$AI$3&lt;AB$3)*($Z200:$AI200-$AJ200:$AS200))))</f>
        <v>0</v>
      </c>
      <c r="I200" s="42" t="n">
        <f aca="false">AM200+MIN(AC200-AM200,MAX(0,'Start Here'!$B$10-SUM($AJ200:$AS200)-SUMPRODUCT(($Z$3:$AI$3&lt;AC$3)*($Z200:$AI200-$AJ200:$AS200))))</f>
        <v>0</v>
      </c>
      <c r="J200" s="42" t="n">
        <f aca="false">AN200+MIN(AD200-AN200,MAX(0,'Start Here'!$B$10-SUM($AJ200:$AS200)-SUMPRODUCT(($Z$3:$AI$3&lt;AD$3)*($Z200:$AI200-$AJ200:$AS200))))</f>
        <v>0</v>
      </c>
      <c r="K200" s="42" t="n">
        <f aca="false">AO200+MIN(AE200-AO200,MAX(0,'Start Here'!$B$10-SUM($AJ200:$AS200)-SUMPRODUCT(($Z$3:$AI$3&lt;AE$3)*($Z200:$AI200-$AJ200:$AS200))))</f>
        <v>0</v>
      </c>
      <c r="L200" s="42" t="n">
        <f aca="false">AP200+MIN(AF200-AP200,MAX(0,'Start Here'!$B$10-SUM($AJ200:$AS200)-SUMPRODUCT(($Z$3:$AI$3&lt;AF$3)*($Z200:$AI200-$AJ200:$AS200))))</f>
        <v>0</v>
      </c>
      <c r="M200" s="42" t="n">
        <f aca="false">AQ200+MIN(AG200-AQ200,MAX(0,'Start Here'!$B$10-SUM($AJ200:$AS200)-SUMPRODUCT(($Z$3:$AI$3&lt;AG$3)*($Z200:$AI200-$AJ200:$AS200))))</f>
        <v>0</v>
      </c>
      <c r="N200" s="42" t="n">
        <f aca="false">AR200+MIN(AH200-AR200,MAX(0,'Start Here'!$B$10-SUM($AJ200:$AS200)-SUMPRODUCT(($Z$3:$AI$3&lt;AH$3)*($Z200:$AI200-$AJ200:$AS200))))</f>
        <v>0</v>
      </c>
      <c r="O200" s="42" t="n">
        <f aca="false">AS200+MIN(AI200-AS200,MAX(0,'Start Here'!$B$10-SUM($AJ200:$AS200)-SUMPRODUCT(($Z$3:$AI$3&lt;AI$3)*($Z200:$AI200-$AJ200:$AS200))))</f>
        <v>0</v>
      </c>
      <c r="P200" s="42" t="n">
        <f aca="false">ROUND(Z200-F200,2)</f>
        <v>0</v>
      </c>
      <c r="Q200" s="42" t="n">
        <f aca="false">ROUND(AA200-G200,2)</f>
        <v>0</v>
      </c>
      <c r="R200" s="42" t="n">
        <f aca="false">ROUND(AB200-H200,2)</f>
        <v>0</v>
      </c>
      <c r="S200" s="42" t="n">
        <f aca="false">ROUND(AC200-I200,2)</f>
        <v>0</v>
      </c>
      <c r="T200" s="42" t="n">
        <f aca="false">ROUND(AD200-J200,2)</f>
        <v>0</v>
      </c>
      <c r="U200" s="42" t="n">
        <f aca="false">ROUND(AE200-K200,2)</f>
        <v>0</v>
      </c>
      <c r="V200" s="42" t="n">
        <f aca="false">ROUND(AF200-L200,2)</f>
        <v>0</v>
      </c>
      <c r="W200" s="42" t="n">
        <f aca="false">ROUND(AG200-M200,2)</f>
        <v>0</v>
      </c>
      <c r="X200" s="42" t="n">
        <f aca="false">ROUND(AH200-N200,2)</f>
        <v>0</v>
      </c>
      <c r="Y200" s="42" t="n">
        <f aca="false">ROUND(AI200-O200,2)</f>
        <v>0</v>
      </c>
      <c r="Z200" s="56" t="n">
        <f aca="false">ROUND(P199*(1+N(Debts!$D$5)/12),2)</f>
        <v>0</v>
      </c>
      <c r="AA200" s="56" t="n">
        <f aca="false">ROUND(Q199*(1+N(Debts!$D$6)/12),2)</f>
        <v>0</v>
      </c>
      <c r="AB200" s="56" t="n">
        <f aca="false">ROUND(R199*(1+N(Debts!$D$7)/12),2)</f>
        <v>0</v>
      </c>
      <c r="AC200" s="56" t="n">
        <f aca="false">ROUND(S199*(1+N(Debts!$D$8)/12),2)</f>
        <v>0</v>
      </c>
      <c r="AD200" s="56" t="n">
        <f aca="false">ROUND(T199*(1+N(Debts!$D$9)/12),2)</f>
        <v>0</v>
      </c>
      <c r="AE200" s="56" t="n">
        <f aca="false">ROUND(U199*(1+N(Debts!$D$10)/12),2)</f>
        <v>0</v>
      </c>
      <c r="AF200" s="56" t="n">
        <f aca="false">ROUND(V199*(1+N(Debts!$D$11)/12),2)</f>
        <v>0</v>
      </c>
      <c r="AG200" s="56" t="n">
        <f aca="false">ROUND(W199*(1+N(Debts!$D$12)/12),2)</f>
        <v>0</v>
      </c>
      <c r="AH200" s="56" t="n">
        <f aca="false">ROUND(X199*(1+N(Debts!$D$13)/12),2)</f>
        <v>0</v>
      </c>
      <c r="AI200" s="56" t="n">
        <f aca="false">ROUND(Y199*(1+N(Debts!$D$14)/12),2)</f>
        <v>0</v>
      </c>
      <c r="AJ200" s="56" t="n">
        <f aca="false">MIN(Z200,MAX(0,N(Debts!$E$5)))</f>
        <v>0</v>
      </c>
      <c r="AK200" s="56" t="n">
        <f aca="false">MIN(AA200,MAX(0,N(Debts!$E$6)))</f>
        <v>0</v>
      </c>
      <c r="AL200" s="56" t="n">
        <f aca="false">MIN(AB200,MAX(0,N(Debts!$E$7)))</f>
        <v>0</v>
      </c>
      <c r="AM200" s="56" t="n">
        <f aca="false">MIN(AC200,MAX(0,N(Debts!$E$8)))</f>
        <v>0</v>
      </c>
      <c r="AN200" s="56" t="n">
        <f aca="false">MIN(AD200,MAX(0,N(Debts!$E$9)))</f>
        <v>0</v>
      </c>
      <c r="AO200" s="56" t="n">
        <f aca="false">MIN(AE200,MAX(0,N(Debts!$E$10)))</f>
        <v>0</v>
      </c>
      <c r="AP200" s="56" t="n">
        <f aca="false">MIN(AF200,MAX(0,N(Debts!$E$11)))</f>
        <v>0</v>
      </c>
      <c r="AQ200" s="56" t="n">
        <f aca="false">MIN(AG200,MAX(0,N(Debts!$E$12)))</f>
        <v>0</v>
      </c>
      <c r="AR200" s="56" t="n">
        <f aca="false">MIN(AH200,MAX(0,N(Debts!$E$13)))</f>
        <v>0</v>
      </c>
      <c r="AS200" s="56" t="n">
        <f aca="false">MIN(AI200,MAX(0,N(Debts!$E$14)))</f>
        <v>0</v>
      </c>
    </row>
    <row r="201" customFormat="false" ht="15" hidden="false" customHeight="false" outlineLevel="0" collapsed="false">
      <c r="A201" s="53" t="n">
        <v>197</v>
      </c>
      <c r="B201" s="54" t="n">
        <f aca="false">EDATE('Start Here'!$B$8,196)</f>
        <v>52291</v>
      </c>
      <c r="C201" s="42" t="n">
        <f aca="false">SUM(F201:O201)</f>
        <v>0</v>
      </c>
      <c r="D201" s="42" t="n">
        <f aca="false">ROUND(SUM($Z201:$AI201)-SUM(P200:Y200),2)</f>
        <v>0</v>
      </c>
      <c r="E201" s="55" t="n">
        <f aca="false">SUM(P201:Y201)</f>
        <v>0</v>
      </c>
      <c r="F201" s="42" t="n">
        <f aca="false">AJ201+MIN(Z201-AJ201,MAX(0,'Start Here'!$B$10-SUM($AJ201:$AS201)-SUMPRODUCT(($Z$3:$AI$3&lt;Z$3)*($Z201:$AI201-$AJ201:$AS201))))</f>
        <v>0</v>
      </c>
      <c r="G201" s="42" t="n">
        <f aca="false">AK201+MIN(AA201-AK201,MAX(0,'Start Here'!$B$10-SUM($AJ201:$AS201)-SUMPRODUCT(($Z$3:$AI$3&lt;AA$3)*($Z201:$AI201-$AJ201:$AS201))))</f>
        <v>0</v>
      </c>
      <c r="H201" s="42" t="n">
        <f aca="false">AL201+MIN(AB201-AL201,MAX(0,'Start Here'!$B$10-SUM($AJ201:$AS201)-SUMPRODUCT(($Z$3:$AI$3&lt;AB$3)*($Z201:$AI201-$AJ201:$AS201))))</f>
        <v>0</v>
      </c>
      <c r="I201" s="42" t="n">
        <f aca="false">AM201+MIN(AC201-AM201,MAX(0,'Start Here'!$B$10-SUM($AJ201:$AS201)-SUMPRODUCT(($Z$3:$AI$3&lt;AC$3)*($Z201:$AI201-$AJ201:$AS201))))</f>
        <v>0</v>
      </c>
      <c r="J201" s="42" t="n">
        <f aca="false">AN201+MIN(AD201-AN201,MAX(0,'Start Here'!$B$10-SUM($AJ201:$AS201)-SUMPRODUCT(($Z$3:$AI$3&lt;AD$3)*($Z201:$AI201-$AJ201:$AS201))))</f>
        <v>0</v>
      </c>
      <c r="K201" s="42" t="n">
        <f aca="false">AO201+MIN(AE201-AO201,MAX(0,'Start Here'!$B$10-SUM($AJ201:$AS201)-SUMPRODUCT(($Z$3:$AI$3&lt;AE$3)*($Z201:$AI201-$AJ201:$AS201))))</f>
        <v>0</v>
      </c>
      <c r="L201" s="42" t="n">
        <f aca="false">AP201+MIN(AF201-AP201,MAX(0,'Start Here'!$B$10-SUM($AJ201:$AS201)-SUMPRODUCT(($Z$3:$AI$3&lt;AF$3)*($Z201:$AI201-$AJ201:$AS201))))</f>
        <v>0</v>
      </c>
      <c r="M201" s="42" t="n">
        <f aca="false">AQ201+MIN(AG201-AQ201,MAX(0,'Start Here'!$B$10-SUM($AJ201:$AS201)-SUMPRODUCT(($Z$3:$AI$3&lt;AG$3)*($Z201:$AI201-$AJ201:$AS201))))</f>
        <v>0</v>
      </c>
      <c r="N201" s="42" t="n">
        <f aca="false">AR201+MIN(AH201-AR201,MAX(0,'Start Here'!$B$10-SUM($AJ201:$AS201)-SUMPRODUCT(($Z$3:$AI$3&lt;AH$3)*($Z201:$AI201-$AJ201:$AS201))))</f>
        <v>0</v>
      </c>
      <c r="O201" s="42" t="n">
        <f aca="false">AS201+MIN(AI201-AS201,MAX(0,'Start Here'!$B$10-SUM($AJ201:$AS201)-SUMPRODUCT(($Z$3:$AI$3&lt;AI$3)*($Z201:$AI201-$AJ201:$AS201))))</f>
        <v>0</v>
      </c>
      <c r="P201" s="42" t="n">
        <f aca="false">ROUND(Z201-F201,2)</f>
        <v>0</v>
      </c>
      <c r="Q201" s="42" t="n">
        <f aca="false">ROUND(AA201-G201,2)</f>
        <v>0</v>
      </c>
      <c r="R201" s="42" t="n">
        <f aca="false">ROUND(AB201-H201,2)</f>
        <v>0</v>
      </c>
      <c r="S201" s="42" t="n">
        <f aca="false">ROUND(AC201-I201,2)</f>
        <v>0</v>
      </c>
      <c r="T201" s="42" t="n">
        <f aca="false">ROUND(AD201-J201,2)</f>
        <v>0</v>
      </c>
      <c r="U201" s="42" t="n">
        <f aca="false">ROUND(AE201-K201,2)</f>
        <v>0</v>
      </c>
      <c r="V201" s="42" t="n">
        <f aca="false">ROUND(AF201-L201,2)</f>
        <v>0</v>
      </c>
      <c r="W201" s="42" t="n">
        <f aca="false">ROUND(AG201-M201,2)</f>
        <v>0</v>
      </c>
      <c r="X201" s="42" t="n">
        <f aca="false">ROUND(AH201-N201,2)</f>
        <v>0</v>
      </c>
      <c r="Y201" s="42" t="n">
        <f aca="false">ROUND(AI201-O201,2)</f>
        <v>0</v>
      </c>
      <c r="Z201" s="56" t="n">
        <f aca="false">ROUND(P200*(1+N(Debts!$D$5)/12),2)</f>
        <v>0</v>
      </c>
      <c r="AA201" s="56" t="n">
        <f aca="false">ROUND(Q200*(1+N(Debts!$D$6)/12),2)</f>
        <v>0</v>
      </c>
      <c r="AB201" s="56" t="n">
        <f aca="false">ROUND(R200*(1+N(Debts!$D$7)/12),2)</f>
        <v>0</v>
      </c>
      <c r="AC201" s="56" t="n">
        <f aca="false">ROUND(S200*(1+N(Debts!$D$8)/12),2)</f>
        <v>0</v>
      </c>
      <c r="AD201" s="56" t="n">
        <f aca="false">ROUND(T200*(1+N(Debts!$D$9)/12),2)</f>
        <v>0</v>
      </c>
      <c r="AE201" s="56" t="n">
        <f aca="false">ROUND(U200*(1+N(Debts!$D$10)/12),2)</f>
        <v>0</v>
      </c>
      <c r="AF201" s="56" t="n">
        <f aca="false">ROUND(V200*(1+N(Debts!$D$11)/12),2)</f>
        <v>0</v>
      </c>
      <c r="AG201" s="56" t="n">
        <f aca="false">ROUND(W200*(1+N(Debts!$D$12)/12),2)</f>
        <v>0</v>
      </c>
      <c r="AH201" s="56" t="n">
        <f aca="false">ROUND(X200*(1+N(Debts!$D$13)/12),2)</f>
        <v>0</v>
      </c>
      <c r="AI201" s="56" t="n">
        <f aca="false">ROUND(Y200*(1+N(Debts!$D$14)/12),2)</f>
        <v>0</v>
      </c>
      <c r="AJ201" s="56" t="n">
        <f aca="false">MIN(Z201,MAX(0,N(Debts!$E$5)))</f>
        <v>0</v>
      </c>
      <c r="AK201" s="56" t="n">
        <f aca="false">MIN(AA201,MAX(0,N(Debts!$E$6)))</f>
        <v>0</v>
      </c>
      <c r="AL201" s="56" t="n">
        <f aca="false">MIN(AB201,MAX(0,N(Debts!$E$7)))</f>
        <v>0</v>
      </c>
      <c r="AM201" s="56" t="n">
        <f aca="false">MIN(AC201,MAX(0,N(Debts!$E$8)))</f>
        <v>0</v>
      </c>
      <c r="AN201" s="56" t="n">
        <f aca="false">MIN(AD201,MAX(0,N(Debts!$E$9)))</f>
        <v>0</v>
      </c>
      <c r="AO201" s="56" t="n">
        <f aca="false">MIN(AE201,MAX(0,N(Debts!$E$10)))</f>
        <v>0</v>
      </c>
      <c r="AP201" s="56" t="n">
        <f aca="false">MIN(AF201,MAX(0,N(Debts!$E$11)))</f>
        <v>0</v>
      </c>
      <c r="AQ201" s="56" t="n">
        <f aca="false">MIN(AG201,MAX(0,N(Debts!$E$12)))</f>
        <v>0</v>
      </c>
      <c r="AR201" s="56" t="n">
        <f aca="false">MIN(AH201,MAX(0,N(Debts!$E$13)))</f>
        <v>0</v>
      </c>
      <c r="AS201" s="56" t="n">
        <f aca="false">MIN(AI201,MAX(0,N(Debts!$E$14)))</f>
        <v>0</v>
      </c>
    </row>
    <row r="202" customFormat="false" ht="15" hidden="false" customHeight="false" outlineLevel="0" collapsed="false">
      <c r="A202" s="53" t="n">
        <v>198</v>
      </c>
      <c r="B202" s="54" t="n">
        <f aca="false">EDATE('Start Here'!$B$8,197)</f>
        <v>52322</v>
      </c>
      <c r="C202" s="42" t="n">
        <f aca="false">SUM(F202:O202)</f>
        <v>0</v>
      </c>
      <c r="D202" s="42" t="n">
        <f aca="false">ROUND(SUM($Z202:$AI202)-SUM(P201:Y201),2)</f>
        <v>0</v>
      </c>
      <c r="E202" s="55" t="n">
        <f aca="false">SUM(P202:Y202)</f>
        <v>0</v>
      </c>
      <c r="F202" s="42" t="n">
        <f aca="false">AJ202+MIN(Z202-AJ202,MAX(0,'Start Here'!$B$10-SUM($AJ202:$AS202)-SUMPRODUCT(($Z$3:$AI$3&lt;Z$3)*($Z202:$AI202-$AJ202:$AS202))))</f>
        <v>0</v>
      </c>
      <c r="G202" s="42" t="n">
        <f aca="false">AK202+MIN(AA202-AK202,MAX(0,'Start Here'!$B$10-SUM($AJ202:$AS202)-SUMPRODUCT(($Z$3:$AI$3&lt;AA$3)*($Z202:$AI202-$AJ202:$AS202))))</f>
        <v>0</v>
      </c>
      <c r="H202" s="42" t="n">
        <f aca="false">AL202+MIN(AB202-AL202,MAX(0,'Start Here'!$B$10-SUM($AJ202:$AS202)-SUMPRODUCT(($Z$3:$AI$3&lt;AB$3)*($Z202:$AI202-$AJ202:$AS202))))</f>
        <v>0</v>
      </c>
      <c r="I202" s="42" t="n">
        <f aca="false">AM202+MIN(AC202-AM202,MAX(0,'Start Here'!$B$10-SUM($AJ202:$AS202)-SUMPRODUCT(($Z$3:$AI$3&lt;AC$3)*($Z202:$AI202-$AJ202:$AS202))))</f>
        <v>0</v>
      </c>
      <c r="J202" s="42" t="n">
        <f aca="false">AN202+MIN(AD202-AN202,MAX(0,'Start Here'!$B$10-SUM($AJ202:$AS202)-SUMPRODUCT(($Z$3:$AI$3&lt;AD$3)*($Z202:$AI202-$AJ202:$AS202))))</f>
        <v>0</v>
      </c>
      <c r="K202" s="42" t="n">
        <f aca="false">AO202+MIN(AE202-AO202,MAX(0,'Start Here'!$B$10-SUM($AJ202:$AS202)-SUMPRODUCT(($Z$3:$AI$3&lt;AE$3)*($Z202:$AI202-$AJ202:$AS202))))</f>
        <v>0</v>
      </c>
      <c r="L202" s="42" t="n">
        <f aca="false">AP202+MIN(AF202-AP202,MAX(0,'Start Here'!$B$10-SUM($AJ202:$AS202)-SUMPRODUCT(($Z$3:$AI$3&lt;AF$3)*($Z202:$AI202-$AJ202:$AS202))))</f>
        <v>0</v>
      </c>
      <c r="M202" s="42" t="n">
        <f aca="false">AQ202+MIN(AG202-AQ202,MAX(0,'Start Here'!$B$10-SUM($AJ202:$AS202)-SUMPRODUCT(($Z$3:$AI$3&lt;AG$3)*($Z202:$AI202-$AJ202:$AS202))))</f>
        <v>0</v>
      </c>
      <c r="N202" s="42" t="n">
        <f aca="false">AR202+MIN(AH202-AR202,MAX(0,'Start Here'!$B$10-SUM($AJ202:$AS202)-SUMPRODUCT(($Z$3:$AI$3&lt;AH$3)*($Z202:$AI202-$AJ202:$AS202))))</f>
        <v>0</v>
      </c>
      <c r="O202" s="42" t="n">
        <f aca="false">AS202+MIN(AI202-AS202,MAX(0,'Start Here'!$B$10-SUM($AJ202:$AS202)-SUMPRODUCT(($Z$3:$AI$3&lt;AI$3)*($Z202:$AI202-$AJ202:$AS202))))</f>
        <v>0</v>
      </c>
      <c r="P202" s="42" t="n">
        <f aca="false">ROUND(Z202-F202,2)</f>
        <v>0</v>
      </c>
      <c r="Q202" s="42" t="n">
        <f aca="false">ROUND(AA202-G202,2)</f>
        <v>0</v>
      </c>
      <c r="R202" s="42" t="n">
        <f aca="false">ROUND(AB202-H202,2)</f>
        <v>0</v>
      </c>
      <c r="S202" s="42" t="n">
        <f aca="false">ROUND(AC202-I202,2)</f>
        <v>0</v>
      </c>
      <c r="T202" s="42" t="n">
        <f aca="false">ROUND(AD202-J202,2)</f>
        <v>0</v>
      </c>
      <c r="U202" s="42" t="n">
        <f aca="false">ROUND(AE202-K202,2)</f>
        <v>0</v>
      </c>
      <c r="V202" s="42" t="n">
        <f aca="false">ROUND(AF202-L202,2)</f>
        <v>0</v>
      </c>
      <c r="W202" s="42" t="n">
        <f aca="false">ROUND(AG202-M202,2)</f>
        <v>0</v>
      </c>
      <c r="X202" s="42" t="n">
        <f aca="false">ROUND(AH202-N202,2)</f>
        <v>0</v>
      </c>
      <c r="Y202" s="42" t="n">
        <f aca="false">ROUND(AI202-O202,2)</f>
        <v>0</v>
      </c>
      <c r="Z202" s="56" t="n">
        <f aca="false">ROUND(P201*(1+N(Debts!$D$5)/12),2)</f>
        <v>0</v>
      </c>
      <c r="AA202" s="56" t="n">
        <f aca="false">ROUND(Q201*(1+N(Debts!$D$6)/12),2)</f>
        <v>0</v>
      </c>
      <c r="AB202" s="56" t="n">
        <f aca="false">ROUND(R201*(1+N(Debts!$D$7)/12),2)</f>
        <v>0</v>
      </c>
      <c r="AC202" s="56" t="n">
        <f aca="false">ROUND(S201*(1+N(Debts!$D$8)/12),2)</f>
        <v>0</v>
      </c>
      <c r="AD202" s="56" t="n">
        <f aca="false">ROUND(T201*(1+N(Debts!$D$9)/12),2)</f>
        <v>0</v>
      </c>
      <c r="AE202" s="56" t="n">
        <f aca="false">ROUND(U201*(1+N(Debts!$D$10)/12),2)</f>
        <v>0</v>
      </c>
      <c r="AF202" s="56" t="n">
        <f aca="false">ROUND(V201*(1+N(Debts!$D$11)/12),2)</f>
        <v>0</v>
      </c>
      <c r="AG202" s="56" t="n">
        <f aca="false">ROUND(W201*(1+N(Debts!$D$12)/12),2)</f>
        <v>0</v>
      </c>
      <c r="AH202" s="56" t="n">
        <f aca="false">ROUND(X201*(1+N(Debts!$D$13)/12),2)</f>
        <v>0</v>
      </c>
      <c r="AI202" s="56" t="n">
        <f aca="false">ROUND(Y201*(1+N(Debts!$D$14)/12),2)</f>
        <v>0</v>
      </c>
      <c r="AJ202" s="56" t="n">
        <f aca="false">MIN(Z202,MAX(0,N(Debts!$E$5)))</f>
        <v>0</v>
      </c>
      <c r="AK202" s="56" t="n">
        <f aca="false">MIN(AA202,MAX(0,N(Debts!$E$6)))</f>
        <v>0</v>
      </c>
      <c r="AL202" s="56" t="n">
        <f aca="false">MIN(AB202,MAX(0,N(Debts!$E$7)))</f>
        <v>0</v>
      </c>
      <c r="AM202" s="56" t="n">
        <f aca="false">MIN(AC202,MAX(0,N(Debts!$E$8)))</f>
        <v>0</v>
      </c>
      <c r="AN202" s="56" t="n">
        <f aca="false">MIN(AD202,MAX(0,N(Debts!$E$9)))</f>
        <v>0</v>
      </c>
      <c r="AO202" s="56" t="n">
        <f aca="false">MIN(AE202,MAX(0,N(Debts!$E$10)))</f>
        <v>0</v>
      </c>
      <c r="AP202" s="56" t="n">
        <f aca="false">MIN(AF202,MAX(0,N(Debts!$E$11)))</f>
        <v>0</v>
      </c>
      <c r="AQ202" s="56" t="n">
        <f aca="false">MIN(AG202,MAX(0,N(Debts!$E$12)))</f>
        <v>0</v>
      </c>
      <c r="AR202" s="56" t="n">
        <f aca="false">MIN(AH202,MAX(0,N(Debts!$E$13)))</f>
        <v>0</v>
      </c>
      <c r="AS202" s="56" t="n">
        <f aca="false">MIN(AI202,MAX(0,N(Debts!$E$14)))</f>
        <v>0</v>
      </c>
    </row>
    <row r="203" customFormat="false" ht="15" hidden="false" customHeight="false" outlineLevel="0" collapsed="false">
      <c r="A203" s="53" t="n">
        <v>199</v>
      </c>
      <c r="B203" s="54" t="n">
        <f aca="false">EDATE('Start Here'!$B$8,198)</f>
        <v>52352</v>
      </c>
      <c r="C203" s="42" t="n">
        <f aca="false">SUM(F203:O203)</f>
        <v>0</v>
      </c>
      <c r="D203" s="42" t="n">
        <f aca="false">ROUND(SUM($Z203:$AI203)-SUM(P202:Y202),2)</f>
        <v>0</v>
      </c>
      <c r="E203" s="55" t="n">
        <f aca="false">SUM(P203:Y203)</f>
        <v>0</v>
      </c>
      <c r="F203" s="42" t="n">
        <f aca="false">AJ203+MIN(Z203-AJ203,MAX(0,'Start Here'!$B$10-SUM($AJ203:$AS203)-SUMPRODUCT(($Z$3:$AI$3&lt;Z$3)*($Z203:$AI203-$AJ203:$AS203))))</f>
        <v>0</v>
      </c>
      <c r="G203" s="42" t="n">
        <f aca="false">AK203+MIN(AA203-AK203,MAX(0,'Start Here'!$B$10-SUM($AJ203:$AS203)-SUMPRODUCT(($Z$3:$AI$3&lt;AA$3)*($Z203:$AI203-$AJ203:$AS203))))</f>
        <v>0</v>
      </c>
      <c r="H203" s="42" t="n">
        <f aca="false">AL203+MIN(AB203-AL203,MAX(0,'Start Here'!$B$10-SUM($AJ203:$AS203)-SUMPRODUCT(($Z$3:$AI$3&lt;AB$3)*($Z203:$AI203-$AJ203:$AS203))))</f>
        <v>0</v>
      </c>
      <c r="I203" s="42" t="n">
        <f aca="false">AM203+MIN(AC203-AM203,MAX(0,'Start Here'!$B$10-SUM($AJ203:$AS203)-SUMPRODUCT(($Z$3:$AI$3&lt;AC$3)*($Z203:$AI203-$AJ203:$AS203))))</f>
        <v>0</v>
      </c>
      <c r="J203" s="42" t="n">
        <f aca="false">AN203+MIN(AD203-AN203,MAX(0,'Start Here'!$B$10-SUM($AJ203:$AS203)-SUMPRODUCT(($Z$3:$AI$3&lt;AD$3)*($Z203:$AI203-$AJ203:$AS203))))</f>
        <v>0</v>
      </c>
      <c r="K203" s="42" t="n">
        <f aca="false">AO203+MIN(AE203-AO203,MAX(0,'Start Here'!$B$10-SUM($AJ203:$AS203)-SUMPRODUCT(($Z$3:$AI$3&lt;AE$3)*($Z203:$AI203-$AJ203:$AS203))))</f>
        <v>0</v>
      </c>
      <c r="L203" s="42" t="n">
        <f aca="false">AP203+MIN(AF203-AP203,MAX(0,'Start Here'!$B$10-SUM($AJ203:$AS203)-SUMPRODUCT(($Z$3:$AI$3&lt;AF$3)*($Z203:$AI203-$AJ203:$AS203))))</f>
        <v>0</v>
      </c>
      <c r="M203" s="42" t="n">
        <f aca="false">AQ203+MIN(AG203-AQ203,MAX(0,'Start Here'!$B$10-SUM($AJ203:$AS203)-SUMPRODUCT(($Z$3:$AI$3&lt;AG$3)*($Z203:$AI203-$AJ203:$AS203))))</f>
        <v>0</v>
      </c>
      <c r="N203" s="42" t="n">
        <f aca="false">AR203+MIN(AH203-AR203,MAX(0,'Start Here'!$B$10-SUM($AJ203:$AS203)-SUMPRODUCT(($Z$3:$AI$3&lt;AH$3)*($Z203:$AI203-$AJ203:$AS203))))</f>
        <v>0</v>
      </c>
      <c r="O203" s="42" t="n">
        <f aca="false">AS203+MIN(AI203-AS203,MAX(0,'Start Here'!$B$10-SUM($AJ203:$AS203)-SUMPRODUCT(($Z$3:$AI$3&lt;AI$3)*($Z203:$AI203-$AJ203:$AS203))))</f>
        <v>0</v>
      </c>
      <c r="P203" s="42" t="n">
        <f aca="false">ROUND(Z203-F203,2)</f>
        <v>0</v>
      </c>
      <c r="Q203" s="42" t="n">
        <f aca="false">ROUND(AA203-G203,2)</f>
        <v>0</v>
      </c>
      <c r="R203" s="42" t="n">
        <f aca="false">ROUND(AB203-H203,2)</f>
        <v>0</v>
      </c>
      <c r="S203" s="42" t="n">
        <f aca="false">ROUND(AC203-I203,2)</f>
        <v>0</v>
      </c>
      <c r="T203" s="42" t="n">
        <f aca="false">ROUND(AD203-J203,2)</f>
        <v>0</v>
      </c>
      <c r="U203" s="42" t="n">
        <f aca="false">ROUND(AE203-K203,2)</f>
        <v>0</v>
      </c>
      <c r="V203" s="42" t="n">
        <f aca="false">ROUND(AF203-L203,2)</f>
        <v>0</v>
      </c>
      <c r="W203" s="42" t="n">
        <f aca="false">ROUND(AG203-M203,2)</f>
        <v>0</v>
      </c>
      <c r="X203" s="42" t="n">
        <f aca="false">ROUND(AH203-N203,2)</f>
        <v>0</v>
      </c>
      <c r="Y203" s="42" t="n">
        <f aca="false">ROUND(AI203-O203,2)</f>
        <v>0</v>
      </c>
      <c r="Z203" s="56" t="n">
        <f aca="false">ROUND(P202*(1+N(Debts!$D$5)/12),2)</f>
        <v>0</v>
      </c>
      <c r="AA203" s="56" t="n">
        <f aca="false">ROUND(Q202*(1+N(Debts!$D$6)/12),2)</f>
        <v>0</v>
      </c>
      <c r="AB203" s="56" t="n">
        <f aca="false">ROUND(R202*(1+N(Debts!$D$7)/12),2)</f>
        <v>0</v>
      </c>
      <c r="AC203" s="56" t="n">
        <f aca="false">ROUND(S202*(1+N(Debts!$D$8)/12),2)</f>
        <v>0</v>
      </c>
      <c r="AD203" s="56" t="n">
        <f aca="false">ROUND(T202*(1+N(Debts!$D$9)/12),2)</f>
        <v>0</v>
      </c>
      <c r="AE203" s="56" t="n">
        <f aca="false">ROUND(U202*(1+N(Debts!$D$10)/12),2)</f>
        <v>0</v>
      </c>
      <c r="AF203" s="56" t="n">
        <f aca="false">ROUND(V202*(1+N(Debts!$D$11)/12),2)</f>
        <v>0</v>
      </c>
      <c r="AG203" s="56" t="n">
        <f aca="false">ROUND(W202*(1+N(Debts!$D$12)/12),2)</f>
        <v>0</v>
      </c>
      <c r="AH203" s="56" t="n">
        <f aca="false">ROUND(X202*(1+N(Debts!$D$13)/12),2)</f>
        <v>0</v>
      </c>
      <c r="AI203" s="56" t="n">
        <f aca="false">ROUND(Y202*(1+N(Debts!$D$14)/12),2)</f>
        <v>0</v>
      </c>
      <c r="AJ203" s="56" t="n">
        <f aca="false">MIN(Z203,MAX(0,N(Debts!$E$5)))</f>
        <v>0</v>
      </c>
      <c r="AK203" s="56" t="n">
        <f aca="false">MIN(AA203,MAX(0,N(Debts!$E$6)))</f>
        <v>0</v>
      </c>
      <c r="AL203" s="56" t="n">
        <f aca="false">MIN(AB203,MAX(0,N(Debts!$E$7)))</f>
        <v>0</v>
      </c>
      <c r="AM203" s="56" t="n">
        <f aca="false">MIN(AC203,MAX(0,N(Debts!$E$8)))</f>
        <v>0</v>
      </c>
      <c r="AN203" s="56" t="n">
        <f aca="false">MIN(AD203,MAX(0,N(Debts!$E$9)))</f>
        <v>0</v>
      </c>
      <c r="AO203" s="56" t="n">
        <f aca="false">MIN(AE203,MAX(0,N(Debts!$E$10)))</f>
        <v>0</v>
      </c>
      <c r="AP203" s="56" t="n">
        <f aca="false">MIN(AF203,MAX(0,N(Debts!$E$11)))</f>
        <v>0</v>
      </c>
      <c r="AQ203" s="56" t="n">
        <f aca="false">MIN(AG203,MAX(0,N(Debts!$E$12)))</f>
        <v>0</v>
      </c>
      <c r="AR203" s="56" t="n">
        <f aca="false">MIN(AH203,MAX(0,N(Debts!$E$13)))</f>
        <v>0</v>
      </c>
      <c r="AS203" s="56" t="n">
        <f aca="false">MIN(AI203,MAX(0,N(Debts!$E$14)))</f>
        <v>0</v>
      </c>
    </row>
    <row r="204" customFormat="false" ht="15" hidden="false" customHeight="false" outlineLevel="0" collapsed="false">
      <c r="A204" s="53" t="n">
        <v>200</v>
      </c>
      <c r="B204" s="54" t="n">
        <f aca="false">EDATE('Start Here'!$B$8,199)</f>
        <v>52383</v>
      </c>
      <c r="C204" s="42" t="n">
        <f aca="false">SUM(F204:O204)</f>
        <v>0</v>
      </c>
      <c r="D204" s="42" t="n">
        <f aca="false">ROUND(SUM($Z204:$AI204)-SUM(P203:Y203),2)</f>
        <v>0</v>
      </c>
      <c r="E204" s="55" t="n">
        <f aca="false">SUM(P204:Y204)</f>
        <v>0</v>
      </c>
      <c r="F204" s="42" t="n">
        <f aca="false">AJ204+MIN(Z204-AJ204,MAX(0,'Start Here'!$B$10-SUM($AJ204:$AS204)-SUMPRODUCT(($Z$3:$AI$3&lt;Z$3)*($Z204:$AI204-$AJ204:$AS204))))</f>
        <v>0</v>
      </c>
      <c r="G204" s="42" t="n">
        <f aca="false">AK204+MIN(AA204-AK204,MAX(0,'Start Here'!$B$10-SUM($AJ204:$AS204)-SUMPRODUCT(($Z$3:$AI$3&lt;AA$3)*($Z204:$AI204-$AJ204:$AS204))))</f>
        <v>0</v>
      </c>
      <c r="H204" s="42" t="n">
        <f aca="false">AL204+MIN(AB204-AL204,MAX(0,'Start Here'!$B$10-SUM($AJ204:$AS204)-SUMPRODUCT(($Z$3:$AI$3&lt;AB$3)*($Z204:$AI204-$AJ204:$AS204))))</f>
        <v>0</v>
      </c>
      <c r="I204" s="42" t="n">
        <f aca="false">AM204+MIN(AC204-AM204,MAX(0,'Start Here'!$B$10-SUM($AJ204:$AS204)-SUMPRODUCT(($Z$3:$AI$3&lt;AC$3)*($Z204:$AI204-$AJ204:$AS204))))</f>
        <v>0</v>
      </c>
      <c r="J204" s="42" t="n">
        <f aca="false">AN204+MIN(AD204-AN204,MAX(0,'Start Here'!$B$10-SUM($AJ204:$AS204)-SUMPRODUCT(($Z$3:$AI$3&lt;AD$3)*($Z204:$AI204-$AJ204:$AS204))))</f>
        <v>0</v>
      </c>
      <c r="K204" s="42" t="n">
        <f aca="false">AO204+MIN(AE204-AO204,MAX(0,'Start Here'!$B$10-SUM($AJ204:$AS204)-SUMPRODUCT(($Z$3:$AI$3&lt;AE$3)*($Z204:$AI204-$AJ204:$AS204))))</f>
        <v>0</v>
      </c>
      <c r="L204" s="42" t="n">
        <f aca="false">AP204+MIN(AF204-AP204,MAX(0,'Start Here'!$B$10-SUM($AJ204:$AS204)-SUMPRODUCT(($Z$3:$AI$3&lt;AF$3)*($Z204:$AI204-$AJ204:$AS204))))</f>
        <v>0</v>
      </c>
      <c r="M204" s="42" t="n">
        <f aca="false">AQ204+MIN(AG204-AQ204,MAX(0,'Start Here'!$B$10-SUM($AJ204:$AS204)-SUMPRODUCT(($Z$3:$AI$3&lt;AG$3)*($Z204:$AI204-$AJ204:$AS204))))</f>
        <v>0</v>
      </c>
      <c r="N204" s="42" t="n">
        <f aca="false">AR204+MIN(AH204-AR204,MAX(0,'Start Here'!$B$10-SUM($AJ204:$AS204)-SUMPRODUCT(($Z$3:$AI$3&lt;AH$3)*($Z204:$AI204-$AJ204:$AS204))))</f>
        <v>0</v>
      </c>
      <c r="O204" s="42" t="n">
        <f aca="false">AS204+MIN(AI204-AS204,MAX(0,'Start Here'!$B$10-SUM($AJ204:$AS204)-SUMPRODUCT(($Z$3:$AI$3&lt;AI$3)*($Z204:$AI204-$AJ204:$AS204))))</f>
        <v>0</v>
      </c>
      <c r="P204" s="42" t="n">
        <f aca="false">ROUND(Z204-F204,2)</f>
        <v>0</v>
      </c>
      <c r="Q204" s="42" t="n">
        <f aca="false">ROUND(AA204-G204,2)</f>
        <v>0</v>
      </c>
      <c r="R204" s="42" t="n">
        <f aca="false">ROUND(AB204-H204,2)</f>
        <v>0</v>
      </c>
      <c r="S204" s="42" t="n">
        <f aca="false">ROUND(AC204-I204,2)</f>
        <v>0</v>
      </c>
      <c r="T204" s="42" t="n">
        <f aca="false">ROUND(AD204-J204,2)</f>
        <v>0</v>
      </c>
      <c r="U204" s="42" t="n">
        <f aca="false">ROUND(AE204-K204,2)</f>
        <v>0</v>
      </c>
      <c r="V204" s="42" t="n">
        <f aca="false">ROUND(AF204-L204,2)</f>
        <v>0</v>
      </c>
      <c r="W204" s="42" t="n">
        <f aca="false">ROUND(AG204-M204,2)</f>
        <v>0</v>
      </c>
      <c r="X204" s="42" t="n">
        <f aca="false">ROUND(AH204-N204,2)</f>
        <v>0</v>
      </c>
      <c r="Y204" s="42" t="n">
        <f aca="false">ROUND(AI204-O204,2)</f>
        <v>0</v>
      </c>
      <c r="Z204" s="56" t="n">
        <f aca="false">ROUND(P203*(1+N(Debts!$D$5)/12),2)</f>
        <v>0</v>
      </c>
      <c r="AA204" s="56" t="n">
        <f aca="false">ROUND(Q203*(1+N(Debts!$D$6)/12),2)</f>
        <v>0</v>
      </c>
      <c r="AB204" s="56" t="n">
        <f aca="false">ROUND(R203*(1+N(Debts!$D$7)/12),2)</f>
        <v>0</v>
      </c>
      <c r="AC204" s="56" t="n">
        <f aca="false">ROUND(S203*(1+N(Debts!$D$8)/12),2)</f>
        <v>0</v>
      </c>
      <c r="AD204" s="56" t="n">
        <f aca="false">ROUND(T203*(1+N(Debts!$D$9)/12),2)</f>
        <v>0</v>
      </c>
      <c r="AE204" s="56" t="n">
        <f aca="false">ROUND(U203*(1+N(Debts!$D$10)/12),2)</f>
        <v>0</v>
      </c>
      <c r="AF204" s="56" t="n">
        <f aca="false">ROUND(V203*(1+N(Debts!$D$11)/12),2)</f>
        <v>0</v>
      </c>
      <c r="AG204" s="56" t="n">
        <f aca="false">ROUND(W203*(1+N(Debts!$D$12)/12),2)</f>
        <v>0</v>
      </c>
      <c r="AH204" s="56" t="n">
        <f aca="false">ROUND(X203*(1+N(Debts!$D$13)/12),2)</f>
        <v>0</v>
      </c>
      <c r="AI204" s="56" t="n">
        <f aca="false">ROUND(Y203*(1+N(Debts!$D$14)/12),2)</f>
        <v>0</v>
      </c>
      <c r="AJ204" s="56" t="n">
        <f aca="false">MIN(Z204,MAX(0,N(Debts!$E$5)))</f>
        <v>0</v>
      </c>
      <c r="AK204" s="56" t="n">
        <f aca="false">MIN(AA204,MAX(0,N(Debts!$E$6)))</f>
        <v>0</v>
      </c>
      <c r="AL204" s="56" t="n">
        <f aca="false">MIN(AB204,MAX(0,N(Debts!$E$7)))</f>
        <v>0</v>
      </c>
      <c r="AM204" s="56" t="n">
        <f aca="false">MIN(AC204,MAX(0,N(Debts!$E$8)))</f>
        <v>0</v>
      </c>
      <c r="AN204" s="56" t="n">
        <f aca="false">MIN(AD204,MAX(0,N(Debts!$E$9)))</f>
        <v>0</v>
      </c>
      <c r="AO204" s="56" t="n">
        <f aca="false">MIN(AE204,MAX(0,N(Debts!$E$10)))</f>
        <v>0</v>
      </c>
      <c r="AP204" s="56" t="n">
        <f aca="false">MIN(AF204,MAX(0,N(Debts!$E$11)))</f>
        <v>0</v>
      </c>
      <c r="AQ204" s="56" t="n">
        <f aca="false">MIN(AG204,MAX(0,N(Debts!$E$12)))</f>
        <v>0</v>
      </c>
      <c r="AR204" s="56" t="n">
        <f aca="false">MIN(AH204,MAX(0,N(Debts!$E$13)))</f>
        <v>0</v>
      </c>
      <c r="AS204" s="56" t="n">
        <f aca="false">MIN(AI204,MAX(0,N(Debts!$E$14)))</f>
        <v>0</v>
      </c>
    </row>
    <row r="205" customFormat="false" ht="15" hidden="false" customHeight="false" outlineLevel="0" collapsed="false">
      <c r="A205" s="53" t="n">
        <v>201</v>
      </c>
      <c r="B205" s="54" t="n">
        <f aca="false">EDATE('Start Here'!$B$8,200)</f>
        <v>52413</v>
      </c>
      <c r="C205" s="42" t="n">
        <f aca="false">SUM(F205:O205)</f>
        <v>0</v>
      </c>
      <c r="D205" s="42" t="n">
        <f aca="false">ROUND(SUM($Z205:$AI205)-SUM(P204:Y204),2)</f>
        <v>0</v>
      </c>
      <c r="E205" s="55" t="n">
        <f aca="false">SUM(P205:Y205)</f>
        <v>0</v>
      </c>
      <c r="F205" s="42" t="n">
        <f aca="false">AJ205+MIN(Z205-AJ205,MAX(0,'Start Here'!$B$10-SUM($AJ205:$AS205)-SUMPRODUCT(($Z$3:$AI$3&lt;Z$3)*($Z205:$AI205-$AJ205:$AS205))))</f>
        <v>0</v>
      </c>
      <c r="G205" s="42" t="n">
        <f aca="false">AK205+MIN(AA205-AK205,MAX(0,'Start Here'!$B$10-SUM($AJ205:$AS205)-SUMPRODUCT(($Z$3:$AI$3&lt;AA$3)*($Z205:$AI205-$AJ205:$AS205))))</f>
        <v>0</v>
      </c>
      <c r="H205" s="42" t="n">
        <f aca="false">AL205+MIN(AB205-AL205,MAX(0,'Start Here'!$B$10-SUM($AJ205:$AS205)-SUMPRODUCT(($Z$3:$AI$3&lt;AB$3)*($Z205:$AI205-$AJ205:$AS205))))</f>
        <v>0</v>
      </c>
      <c r="I205" s="42" t="n">
        <f aca="false">AM205+MIN(AC205-AM205,MAX(0,'Start Here'!$B$10-SUM($AJ205:$AS205)-SUMPRODUCT(($Z$3:$AI$3&lt;AC$3)*($Z205:$AI205-$AJ205:$AS205))))</f>
        <v>0</v>
      </c>
      <c r="J205" s="42" t="n">
        <f aca="false">AN205+MIN(AD205-AN205,MAX(0,'Start Here'!$B$10-SUM($AJ205:$AS205)-SUMPRODUCT(($Z$3:$AI$3&lt;AD$3)*($Z205:$AI205-$AJ205:$AS205))))</f>
        <v>0</v>
      </c>
      <c r="K205" s="42" t="n">
        <f aca="false">AO205+MIN(AE205-AO205,MAX(0,'Start Here'!$B$10-SUM($AJ205:$AS205)-SUMPRODUCT(($Z$3:$AI$3&lt;AE$3)*($Z205:$AI205-$AJ205:$AS205))))</f>
        <v>0</v>
      </c>
      <c r="L205" s="42" t="n">
        <f aca="false">AP205+MIN(AF205-AP205,MAX(0,'Start Here'!$B$10-SUM($AJ205:$AS205)-SUMPRODUCT(($Z$3:$AI$3&lt;AF$3)*($Z205:$AI205-$AJ205:$AS205))))</f>
        <v>0</v>
      </c>
      <c r="M205" s="42" t="n">
        <f aca="false">AQ205+MIN(AG205-AQ205,MAX(0,'Start Here'!$B$10-SUM($AJ205:$AS205)-SUMPRODUCT(($Z$3:$AI$3&lt;AG$3)*($Z205:$AI205-$AJ205:$AS205))))</f>
        <v>0</v>
      </c>
      <c r="N205" s="42" t="n">
        <f aca="false">AR205+MIN(AH205-AR205,MAX(0,'Start Here'!$B$10-SUM($AJ205:$AS205)-SUMPRODUCT(($Z$3:$AI$3&lt;AH$3)*($Z205:$AI205-$AJ205:$AS205))))</f>
        <v>0</v>
      </c>
      <c r="O205" s="42" t="n">
        <f aca="false">AS205+MIN(AI205-AS205,MAX(0,'Start Here'!$B$10-SUM($AJ205:$AS205)-SUMPRODUCT(($Z$3:$AI$3&lt;AI$3)*($Z205:$AI205-$AJ205:$AS205))))</f>
        <v>0</v>
      </c>
      <c r="P205" s="42" t="n">
        <f aca="false">ROUND(Z205-F205,2)</f>
        <v>0</v>
      </c>
      <c r="Q205" s="42" t="n">
        <f aca="false">ROUND(AA205-G205,2)</f>
        <v>0</v>
      </c>
      <c r="R205" s="42" t="n">
        <f aca="false">ROUND(AB205-H205,2)</f>
        <v>0</v>
      </c>
      <c r="S205" s="42" t="n">
        <f aca="false">ROUND(AC205-I205,2)</f>
        <v>0</v>
      </c>
      <c r="T205" s="42" t="n">
        <f aca="false">ROUND(AD205-J205,2)</f>
        <v>0</v>
      </c>
      <c r="U205" s="42" t="n">
        <f aca="false">ROUND(AE205-K205,2)</f>
        <v>0</v>
      </c>
      <c r="V205" s="42" t="n">
        <f aca="false">ROUND(AF205-L205,2)</f>
        <v>0</v>
      </c>
      <c r="W205" s="42" t="n">
        <f aca="false">ROUND(AG205-M205,2)</f>
        <v>0</v>
      </c>
      <c r="X205" s="42" t="n">
        <f aca="false">ROUND(AH205-N205,2)</f>
        <v>0</v>
      </c>
      <c r="Y205" s="42" t="n">
        <f aca="false">ROUND(AI205-O205,2)</f>
        <v>0</v>
      </c>
      <c r="Z205" s="56" t="n">
        <f aca="false">ROUND(P204*(1+N(Debts!$D$5)/12),2)</f>
        <v>0</v>
      </c>
      <c r="AA205" s="56" t="n">
        <f aca="false">ROUND(Q204*(1+N(Debts!$D$6)/12),2)</f>
        <v>0</v>
      </c>
      <c r="AB205" s="56" t="n">
        <f aca="false">ROUND(R204*(1+N(Debts!$D$7)/12),2)</f>
        <v>0</v>
      </c>
      <c r="AC205" s="56" t="n">
        <f aca="false">ROUND(S204*(1+N(Debts!$D$8)/12),2)</f>
        <v>0</v>
      </c>
      <c r="AD205" s="56" t="n">
        <f aca="false">ROUND(T204*(1+N(Debts!$D$9)/12),2)</f>
        <v>0</v>
      </c>
      <c r="AE205" s="56" t="n">
        <f aca="false">ROUND(U204*(1+N(Debts!$D$10)/12),2)</f>
        <v>0</v>
      </c>
      <c r="AF205" s="56" t="n">
        <f aca="false">ROUND(V204*(1+N(Debts!$D$11)/12),2)</f>
        <v>0</v>
      </c>
      <c r="AG205" s="56" t="n">
        <f aca="false">ROUND(W204*(1+N(Debts!$D$12)/12),2)</f>
        <v>0</v>
      </c>
      <c r="AH205" s="56" t="n">
        <f aca="false">ROUND(X204*(1+N(Debts!$D$13)/12),2)</f>
        <v>0</v>
      </c>
      <c r="AI205" s="56" t="n">
        <f aca="false">ROUND(Y204*(1+N(Debts!$D$14)/12),2)</f>
        <v>0</v>
      </c>
      <c r="AJ205" s="56" t="n">
        <f aca="false">MIN(Z205,MAX(0,N(Debts!$E$5)))</f>
        <v>0</v>
      </c>
      <c r="AK205" s="56" t="n">
        <f aca="false">MIN(AA205,MAX(0,N(Debts!$E$6)))</f>
        <v>0</v>
      </c>
      <c r="AL205" s="56" t="n">
        <f aca="false">MIN(AB205,MAX(0,N(Debts!$E$7)))</f>
        <v>0</v>
      </c>
      <c r="AM205" s="56" t="n">
        <f aca="false">MIN(AC205,MAX(0,N(Debts!$E$8)))</f>
        <v>0</v>
      </c>
      <c r="AN205" s="56" t="n">
        <f aca="false">MIN(AD205,MAX(0,N(Debts!$E$9)))</f>
        <v>0</v>
      </c>
      <c r="AO205" s="56" t="n">
        <f aca="false">MIN(AE205,MAX(0,N(Debts!$E$10)))</f>
        <v>0</v>
      </c>
      <c r="AP205" s="56" t="n">
        <f aca="false">MIN(AF205,MAX(0,N(Debts!$E$11)))</f>
        <v>0</v>
      </c>
      <c r="AQ205" s="56" t="n">
        <f aca="false">MIN(AG205,MAX(0,N(Debts!$E$12)))</f>
        <v>0</v>
      </c>
      <c r="AR205" s="56" t="n">
        <f aca="false">MIN(AH205,MAX(0,N(Debts!$E$13)))</f>
        <v>0</v>
      </c>
      <c r="AS205" s="56" t="n">
        <f aca="false">MIN(AI205,MAX(0,N(Debts!$E$14)))</f>
        <v>0</v>
      </c>
    </row>
    <row r="206" customFormat="false" ht="15" hidden="false" customHeight="false" outlineLevel="0" collapsed="false">
      <c r="A206" s="53" t="n">
        <v>202</v>
      </c>
      <c r="B206" s="54" t="n">
        <f aca="false">EDATE('Start Here'!$B$8,201)</f>
        <v>52444</v>
      </c>
      <c r="C206" s="42" t="n">
        <f aca="false">SUM(F206:O206)</f>
        <v>0</v>
      </c>
      <c r="D206" s="42" t="n">
        <f aca="false">ROUND(SUM($Z206:$AI206)-SUM(P205:Y205),2)</f>
        <v>0</v>
      </c>
      <c r="E206" s="55" t="n">
        <f aca="false">SUM(P206:Y206)</f>
        <v>0</v>
      </c>
      <c r="F206" s="42" t="n">
        <f aca="false">AJ206+MIN(Z206-AJ206,MAX(0,'Start Here'!$B$10-SUM($AJ206:$AS206)-SUMPRODUCT(($Z$3:$AI$3&lt;Z$3)*($Z206:$AI206-$AJ206:$AS206))))</f>
        <v>0</v>
      </c>
      <c r="G206" s="42" t="n">
        <f aca="false">AK206+MIN(AA206-AK206,MAX(0,'Start Here'!$B$10-SUM($AJ206:$AS206)-SUMPRODUCT(($Z$3:$AI$3&lt;AA$3)*($Z206:$AI206-$AJ206:$AS206))))</f>
        <v>0</v>
      </c>
      <c r="H206" s="42" t="n">
        <f aca="false">AL206+MIN(AB206-AL206,MAX(0,'Start Here'!$B$10-SUM($AJ206:$AS206)-SUMPRODUCT(($Z$3:$AI$3&lt;AB$3)*($Z206:$AI206-$AJ206:$AS206))))</f>
        <v>0</v>
      </c>
      <c r="I206" s="42" t="n">
        <f aca="false">AM206+MIN(AC206-AM206,MAX(0,'Start Here'!$B$10-SUM($AJ206:$AS206)-SUMPRODUCT(($Z$3:$AI$3&lt;AC$3)*($Z206:$AI206-$AJ206:$AS206))))</f>
        <v>0</v>
      </c>
      <c r="J206" s="42" t="n">
        <f aca="false">AN206+MIN(AD206-AN206,MAX(0,'Start Here'!$B$10-SUM($AJ206:$AS206)-SUMPRODUCT(($Z$3:$AI$3&lt;AD$3)*($Z206:$AI206-$AJ206:$AS206))))</f>
        <v>0</v>
      </c>
      <c r="K206" s="42" t="n">
        <f aca="false">AO206+MIN(AE206-AO206,MAX(0,'Start Here'!$B$10-SUM($AJ206:$AS206)-SUMPRODUCT(($Z$3:$AI$3&lt;AE$3)*($Z206:$AI206-$AJ206:$AS206))))</f>
        <v>0</v>
      </c>
      <c r="L206" s="42" t="n">
        <f aca="false">AP206+MIN(AF206-AP206,MAX(0,'Start Here'!$B$10-SUM($AJ206:$AS206)-SUMPRODUCT(($Z$3:$AI$3&lt;AF$3)*($Z206:$AI206-$AJ206:$AS206))))</f>
        <v>0</v>
      </c>
      <c r="M206" s="42" t="n">
        <f aca="false">AQ206+MIN(AG206-AQ206,MAX(0,'Start Here'!$B$10-SUM($AJ206:$AS206)-SUMPRODUCT(($Z$3:$AI$3&lt;AG$3)*($Z206:$AI206-$AJ206:$AS206))))</f>
        <v>0</v>
      </c>
      <c r="N206" s="42" t="n">
        <f aca="false">AR206+MIN(AH206-AR206,MAX(0,'Start Here'!$B$10-SUM($AJ206:$AS206)-SUMPRODUCT(($Z$3:$AI$3&lt;AH$3)*($Z206:$AI206-$AJ206:$AS206))))</f>
        <v>0</v>
      </c>
      <c r="O206" s="42" t="n">
        <f aca="false">AS206+MIN(AI206-AS206,MAX(0,'Start Here'!$B$10-SUM($AJ206:$AS206)-SUMPRODUCT(($Z$3:$AI$3&lt;AI$3)*($Z206:$AI206-$AJ206:$AS206))))</f>
        <v>0</v>
      </c>
      <c r="P206" s="42" t="n">
        <f aca="false">ROUND(Z206-F206,2)</f>
        <v>0</v>
      </c>
      <c r="Q206" s="42" t="n">
        <f aca="false">ROUND(AA206-G206,2)</f>
        <v>0</v>
      </c>
      <c r="R206" s="42" t="n">
        <f aca="false">ROUND(AB206-H206,2)</f>
        <v>0</v>
      </c>
      <c r="S206" s="42" t="n">
        <f aca="false">ROUND(AC206-I206,2)</f>
        <v>0</v>
      </c>
      <c r="T206" s="42" t="n">
        <f aca="false">ROUND(AD206-J206,2)</f>
        <v>0</v>
      </c>
      <c r="U206" s="42" t="n">
        <f aca="false">ROUND(AE206-K206,2)</f>
        <v>0</v>
      </c>
      <c r="V206" s="42" t="n">
        <f aca="false">ROUND(AF206-L206,2)</f>
        <v>0</v>
      </c>
      <c r="W206" s="42" t="n">
        <f aca="false">ROUND(AG206-M206,2)</f>
        <v>0</v>
      </c>
      <c r="X206" s="42" t="n">
        <f aca="false">ROUND(AH206-N206,2)</f>
        <v>0</v>
      </c>
      <c r="Y206" s="42" t="n">
        <f aca="false">ROUND(AI206-O206,2)</f>
        <v>0</v>
      </c>
      <c r="Z206" s="56" t="n">
        <f aca="false">ROUND(P205*(1+N(Debts!$D$5)/12),2)</f>
        <v>0</v>
      </c>
      <c r="AA206" s="56" t="n">
        <f aca="false">ROUND(Q205*(1+N(Debts!$D$6)/12),2)</f>
        <v>0</v>
      </c>
      <c r="AB206" s="56" t="n">
        <f aca="false">ROUND(R205*(1+N(Debts!$D$7)/12),2)</f>
        <v>0</v>
      </c>
      <c r="AC206" s="56" t="n">
        <f aca="false">ROUND(S205*(1+N(Debts!$D$8)/12),2)</f>
        <v>0</v>
      </c>
      <c r="AD206" s="56" t="n">
        <f aca="false">ROUND(T205*(1+N(Debts!$D$9)/12),2)</f>
        <v>0</v>
      </c>
      <c r="AE206" s="56" t="n">
        <f aca="false">ROUND(U205*(1+N(Debts!$D$10)/12),2)</f>
        <v>0</v>
      </c>
      <c r="AF206" s="56" t="n">
        <f aca="false">ROUND(V205*(1+N(Debts!$D$11)/12),2)</f>
        <v>0</v>
      </c>
      <c r="AG206" s="56" t="n">
        <f aca="false">ROUND(W205*(1+N(Debts!$D$12)/12),2)</f>
        <v>0</v>
      </c>
      <c r="AH206" s="56" t="n">
        <f aca="false">ROUND(X205*(1+N(Debts!$D$13)/12),2)</f>
        <v>0</v>
      </c>
      <c r="AI206" s="56" t="n">
        <f aca="false">ROUND(Y205*(1+N(Debts!$D$14)/12),2)</f>
        <v>0</v>
      </c>
      <c r="AJ206" s="56" t="n">
        <f aca="false">MIN(Z206,MAX(0,N(Debts!$E$5)))</f>
        <v>0</v>
      </c>
      <c r="AK206" s="56" t="n">
        <f aca="false">MIN(AA206,MAX(0,N(Debts!$E$6)))</f>
        <v>0</v>
      </c>
      <c r="AL206" s="56" t="n">
        <f aca="false">MIN(AB206,MAX(0,N(Debts!$E$7)))</f>
        <v>0</v>
      </c>
      <c r="AM206" s="56" t="n">
        <f aca="false">MIN(AC206,MAX(0,N(Debts!$E$8)))</f>
        <v>0</v>
      </c>
      <c r="AN206" s="56" t="n">
        <f aca="false">MIN(AD206,MAX(0,N(Debts!$E$9)))</f>
        <v>0</v>
      </c>
      <c r="AO206" s="56" t="n">
        <f aca="false">MIN(AE206,MAX(0,N(Debts!$E$10)))</f>
        <v>0</v>
      </c>
      <c r="AP206" s="56" t="n">
        <f aca="false">MIN(AF206,MAX(0,N(Debts!$E$11)))</f>
        <v>0</v>
      </c>
      <c r="AQ206" s="56" t="n">
        <f aca="false">MIN(AG206,MAX(0,N(Debts!$E$12)))</f>
        <v>0</v>
      </c>
      <c r="AR206" s="56" t="n">
        <f aca="false">MIN(AH206,MAX(0,N(Debts!$E$13)))</f>
        <v>0</v>
      </c>
      <c r="AS206" s="56" t="n">
        <f aca="false">MIN(AI206,MAX(0,N(Debts!$E$14)))</f>
        <v>0</v>
      </c>
    </row>
    <row r="207" customFormat="false" ht="15" hidden="false" customHeight="false" outlineLevel="0" collapsed="false">
      <c r="A207" s="53" t="n">
        <v>203</v>
      </c>
      <c r="B207" s="54" t="n">
        <f aca="false">EDATE('Start Here'!$B$8,202)</f>
        <v>52475</v>
      </c>
      <c r="C207" s="42" t="n">
        <f aca="false">SUM(F207:O207)</f>
        <v>0</v>
      </c>
      <c r="D207" s="42" t="n">
        <f aca="false">ROUND(SUM($Z207:$AI207)-SUM(P206:Y206),2)</f>
        <v>0</v>
      </c>
      <c r="E207" s="55" t="n">
        <f aca="false">SUM(P207:Y207)</f>
        <v>0</v>
      </c>
      <c r="F207" s="42" t="n">
        <f aca="false">AJ207+MIN(Z207-AJ207,MAX(0,'Start Here'!$B$10-SUM($AJ207:$AS207)-SUMPRODUCT(($Z$3:$AI$3&lt;Z$3)*($Z207:$AI207-$AJ207:$AS207))))</f>
        <v>0</v>
      </c>
      <c r="G207" s="42" t="n">
        <f aca="false">AK207+MIN(AA207-AK207,MAX(0,'Start Here'!$B$10-SUM($AJ207:$AS207)-SUMPRODUCT(($Z$3:$AI$3&lt;AA$3)*($Z207:$AI207-$AJ207:$AS207))))</f>
        <v>0</v>
      </c>
      <c r="H207" s="42" t="n">
        <f aca="false">AL207+MIN(AB207-AL207,MAX(0,'Start Here'!$B$10-SUM($AJ207:$AS207)-SUMPRODUCT(($Z$3:$AI$3&lt;AB$3)*($Z207:$AI207-$AJ207:$AS207))))</f>
        <v>0</v>
      </c>
      <c r="I207" s="42" t="n">
        <f aca="false">AM207+MIN(AC207-AM207,MAX(0,'Start Here'!$B$10-SUM($AJ207:$AS207)-SUMPRODUCT(($Z$3:$AI$3&lt;AC$3)*($Z207:$AI207-$AJ207:$AS207))))</f>
        <v>0</v>
      </c>
      <c r="J207" s="42" t="n">
        <f aca="false">AN207+MIN(AD207-AN207,MAX(0,'Start Here'!$B$10-SUM($AJ207:$AS207)-SUMPRODUCT(($Z$3:$AI$3&lt;AD$3)*($Z207:$AI207-$AJ207:$AS207))))</f>
        <v>0</v>
      </c>
      <c r="K207" s="42" t="n">
        <f aca="false">AO207+MIN(AE207-AO207,MAX(0,'Start Here'!$B$10-SUM($AJ207:$AS207)-SUMPRODUCT(($Z$3:$AI$3&lt;AE$3)*($Z207:$AI207-$AJ207:$AS207))))</f>
        <v>0</v>
      </c>
      <c r="L207" s="42" t="n">
        <f aca="false">AP207+MIN(AF207-AP207,MAX(0,'Start Here'!$B$10-SUM($AJ207:$AS207)-SUMPRODUCT(($Z$3:$AI$3&lt;AF$3)*($Z207:$AI207-$AJ207:$AS207))))</f>
        <v>0</v>
      </c>
      <c r="M207" s="42" t="n">
        <f aca="false">AQ207+MIN(AG207-AQ207,MAX(0,'Start Here'!$B$10-SUM($AJ207:$AS207)-SUMPRODUCT(($Z$3:$AI$3&lt;AG$3)*($Z207:$AI207-$AJ207:$AS207))))</f>
        <v>0</v>
      </c>
      <c r="N207" s="42" t="n">
        <f aca="false">AR207+MIN(AH207-AR207,MAX(0,'Start Here'!$B$10-SUM($AJ207:$AS207)-SUMPRODUCT(($Z$3:$AI$3&lt;AH$3)*($Z207:$AI207-$AJ207:$AS207))))</f>
        <v>0</v>
      </c>
      <c r="O207" s="42" t="n">
        <f aca="false">AS207+MIN(AI207-AS207,MAX(0,'Start Here'!$B$10-SUM($AJ207:$AS207)-SUMPRODUCT(($Z$3:$AI$3&lt;AI$3)*($Z207:$AI207-$AJ207:$AS207))))</f>
        <v>0</v>
      </c>
      <c r="P207" s="42" t="n">
        <f aca="false">ROUND(Z207-F207,2)</f>
        <v>0</v>
      </c>
      <c r="Q207" s="42" t="n">
        <f aca="false">ROUND(AA207-G207,2)</f>
        <v>0</v>
      </c>
      <c r="R207" s="42" t="n">
        <f aca="false">ROUND(AB207-H207,2)</f>
        <v>0</v>
      </c>
      <c r="S207" s="42" t="n">
        <f aca="false">ROUND(AC207-I207,2)</f>
        <v>0</v>
      </c>
      <c r="T207" s="42" t="n">
        <f aca="false">ROUND(AD207-J207,2)</f>
        <v>0</v>
      </c>
      <c r="U207" s="42" t="n">
        <f aca="false">ROUND(AE207-K207,2)</f>
        <v>0</v>
      </c>
      <c r="V207" s="42" t="n">
        <f aca="false">ROUND(AF207-L207,2)</f>
        <v>0</v>
      </c>
      <c r="W207" s="42" t="n">
        <f aca="false">ROUND(AG207-M207,2)</f>
        <v>0</v>
      </c>
      <c r="X207" s="42" t="n">
        <f aca="false">ROUND(AH207-N207,2)</f>
        <v>0</v>
      </c>
      <c r="Y207" s="42" t="n">
        <f aca="false">ROUND(AI207-O207,2)</f>
        <v>0</v>
      </c>
      <c r="Z207" s="56" t="n">
        <f aca="false">ROUND(P206*(1+N(Debts!$D$5)/12),2)</f>
        <v>0</v>
      </c>
      <c r="AA207" s="56" t="n">
        <f aca="false">ROUND(Q206*(1+N(Debts!$D$6)/12),2)</f>
        <v>0</v>
      </c>
      <c r="AB207" s="56" t="n">
        <f aca="false">ROUND(R206*(1+N(Debts!$D$7)/12),2)</f>
        <v>0</v>
      </c>
      <c r="AC207" s="56" t="n">
        <f aca="false">ROUND(S206*(1+N(Debts!$D$8)/12),2)</f>
        <v>0</v>
      </c>
      <c r="AD207" s="56" t="n">
        <f aca="false">ROUND(T206*(1+N(Debts!$D$9)/12),2)</f>
        <v>0</v>
      </c>
      <c r="AE207" s="56" t="n">
        <f aca="false">ROUND(U206*(1+N(Debts!$D$10)/12),2)</f>
        <v>0</v>
      </c>
      <c r="AF207" s="56" t="n">
        <f aca="false">ROUND(V206*(1+N(Debts!$D$11)/12),2)</f>
        <v>0</v>
      </c>
      <c r="AG207" s="56" t="n">
        <f aca="false">ROUND(W206*(1+N(Debts!$D$12)/12),2)</f>
        <v>0</v>
      </c>
      <c r="AH207" s="56" t="n">
        <f aca="false">ROUND(X206*(1+N(Debts!$D$13)/12),2)</f>
        <v>0</v>
      </c>
      <c r="AI207" s="56" t="n">
        <f aca="false">ROUND(Y206*(1+N(Debts!$D$14)/12),2)</f>
        <v>0</v>
      </c>
      <c r="AJ207" s="56" t="n">
        <f aca="false">MIN(Z207,MAX(0,N(Debts!$E$5)))</f>
        <v>0</v>
      </c>
      <c r="AK207" s="56" t="n">
        <f aca="false">MIN(AA207,MAX(0,N(Debts!$E$6)))</f>
        <v>0</v>
      </c>
      <c r="AL207" s="56" t="n">
        <f aca="false">MIN(AB207,MAX(0,N(Debts!$E$7)))</f>
        <v>0</v>
      </c>
      <c r="AM207" s="56" t="n">
        <f aca="false">MIN(AC207,MAX(0,N(Debts!$E$8)))</f>
        <v>0</v>
      </c>
      <c r="AN207" s="56" t="n">
        <f aca="false">MIN(AD207,MAX(0,N(Debts!$E$9)))</f>
        <v>0</v>
      </c>
      <c r="AO207" s="56" t="n">
        <f aca="false">MIN(AE207,MAX(0,N(Debts!$E$10)))</f>
        <v>0</v>
      </c>
      <c r="AP207" s="56" t="n">
        <f aca="false">MIN(AF207,MAX(0,N(Debts!$E$11)))</f>
        <v>0</v>
      </c>
      <c r="AQ207" s="56" t="n">
        <f aca="false">MIN(AG207,MAX(0,N(Debts!$E$12)))</f>
        <v>0</v>
      </c>
      <c r="AR207" s="56" t="n">
        <f aca="false">MIN(AH207,MAX(0,N(Debts!$E$13)))</f>
        <v>0</v>
      </c>
      <c r="AS207" s="56" t="n">
        <f aca="false">MIN(AI207,MAX(0,N(Debts!$E$14)))</f>
        <v>0</v>
      </c>
    </row>
    <row r="208" customFormat="false" ht="15" hidden="false" customHeight="false" outlineLevel="0" collapsed="false">
      <c r="A208" s="53" t="n">
        <v>204</v>
      </c>
      <c r="B208" s="54" t="n">
        <f aca="false">EDATE('Start Here'!$B$8,203)</f>
        <v>52505</v>
      </c>
      <c r="C208" s="42" t="n">
        <f aca="false">SUM(F208:O208)</f>
        <v>0</v>
      </c>
      <c r="D208" s="42" t="n">
        <f aca="false">ROUND(SUM($Z208:$AI208)-SUM(P207:Y207),2)</f>
        <v>0</v>
      </c>
      <c r="E208" s="55" t="n">
        <f aca="false">SUM(P208:Y208)</f>
        <v>0</v>
      </c>
      <c r="F208" s="42" t="n">
        <f aca="false">AJ208+MIN(Z208-AJ208,MAX(0,'Start Here'!$B$10-SUM($AJ208:$AS208)-SUMPRODUCT(($Z$3:$AI$3&lt;Z$3)*($Z208:$AI208-$AJ208:$AS208))))</f>
        <v>0</v>
      </c>
      <c r="G208" s="42" t="n">
        <f aca="false">AK208+MIN(AA208-AK208,MAX(0,'Start Here'!$B$10-SUM($AJ208:$AS208)-SUMPRODUCT(($Z$3:$AI$3&lt;AA$3)*($Z208:$AI208-$AJ208:$AS208))))</f>
        <v>0</v>
      </c>
      <c r="H208" s="42" t="n">
        <f aca="false">AL208+MIN(AB208-AL208,MAX(0,'Start Here'!$B$10-SUM($AJ208:$AS208)-SUMPRODUCT(($Z$3:$AI$3&lt;AB$3)*($Z208:$AI208-$AJ208:$AS208))))</f>
        <v>0</v>
      </c>
      <c r="I208" s="42" t="n">
        <f aca="false">AM208+MIN(AC208-AM208,MAX(0,'Start Here'!$B$10-SUM($AJ208:$AS208)-SUMPRODUCT(($Z$3:$AI$3&lt;AC$3)*($Z208:$AI208-$AJ208:$AS208))))</f>
        <v>0</v>
      </c>
      <c r="J208" s="42" t="n">
        <f aca="false">AN208+MIN(AD208-AN208,MAX(0,'Start Here'!$B$10-SUM($AJ208:$AS208)-SUMPRODUCT(($Z$3:$AI$3&lt;AD$3)*($Z208:$AI208-$AJ208:$AS208))))</f>
        <v>0</v>
      </c>
      <c r="K208" s="42" t="n">
        <f aca="false">AO208+MIN(AE208-AO208,MAX(0,'Start Here'!$B$10-SUM($AJ208:$AS208)-SUMPRODUCT(($Z$3:$AI$3&lt;AE$3)*($Z208:$AI208-$AJ208:$AS208))))</f>
        <v>0</v>
      </c>
      <c r="L208" s="42" t="n">
        <f aca="false">AP208+MIN(AF208-AP208,MAX(0,'Start Here'!$B$10-SUM($AJ208:$AS208)-SUMPRODUCT(($Z$3:$AI$3&lt;AF$3)*($Z208:$AI208-$AJ208:$AS208))))</f>
        <v>0</v>
      </c>
      <c r="M208" s="42" t="n">
        <f aca="false">AQ208+MIN(AG208-AQ208,MAX(0,'Start Here'!$B$10-SUM($AJ208:$AS208)-SUMPRODUCT(($Z$3:$AI$3&lt;AG$3)*($Z208:$AI208-$AJ208:$AS208))))</f>
        <v>0</v>
      </c>
      <c r="N208" s="42" t="n">
        <f aca="false">AR208+MIN(AH208-AR208,MAX(0,'Start Here'!$B$10-SUM($AJ208:$AS208)-SUMPRODUCT(($Z$3:$AI$3&lt;AH$3)*($Z208:$AI208-$AJ208:$AS208))))</f>
        <v>0</v>
      </c>
      <c r="O208" s="42" t="n">
        <f aca="false">AS208+MIN(AI208-AS208,MAX(0,'Start Here'!$B$10-SUM($AJ208:$AS208)-SUMPRODUCT(($Z$3:$AI$3&lt;AI$3)*($Z208:$AI208-$AJ208:$AS208))))</f>
        <v>0</v>
      </c>
      <c r="P208" s="42" t="n">
        <f aca="false">ROUND(Z208-F208,2)</f>
        <v>0</v>
      </c>
      <c r="Q208" s="42" t="n">
        <f aca="false">ROUND(AA208-G208,2)</f>
        <v>0</v>
      </c>
      <c r="R208" s="42" t="n">
        <f aca="false">ROUND(AB208-H208,2)</f>
        <v>0</v>
      </c>
      <c r="S208" s="42" t="n">
        <f aca="false">ROUND(AC208-I208,2)</f>
        <v>0</v>
      </c>
      <c r="T208" s="42" t="n">
        <f aca="false">ROUND(AD208-J208,2)</f>
        <v>0</v>
      </c>
      <c r="U208" s="42" t="n">
        <f aca="false">ROUND(AE208-K208,2)</f>
        <v>0</v>
      </c>
      <c r="V208" s="42" t="n">
        <f aca="false">ROUND(AF208-L208,2)</f>
        <v>0</v>
      </c>
      <c r="W208" s="42" t="n">
        <f aca="false">ROUND(AG208-M208,2)</f>
        <v>0</v>
      </c>
      <c r="X208" s="42" t="n">
        <f aca="false">ROUND(AH208-N208,2)</f>
        <v>0</v>
      </c>
      <c r="Y208" s="42" t="n">
        <f aca="false">ROUND(AI208-O208,2)</f>
        <v>0</v>
      </c>
      <c r="Z208" s="56" t="n">
        <f aca="false">ROUND(P207*(1+N(Debts!$D$5)/12),2)</f>
        <v>0</v>
      </c>
      <c r="AA208" s="56" t="n">
        <f aca="false">ROUND(Q207*(1+N(Debts!$D$6)/12),2)</f>
        <v>0</v>
      </c>
      <c r="AB208" s="56" t="n">
        <f aca="false">ROUND(R207*(1+N(Debts!$D$7)/12),2)</f>
        <v>0</v>
      </c>
      <c r="AC208" s="56" t="n">
        <f aca="false">ROUND(S207*(1+N(Debts!$D$8)/12),2)</f>
        <v>0</v>
      </c>
      <c r="AD208" s="56" t="n">
        <f aca="false">ROUND(T207*(1+N(Debts!$D$9)/12),2)</f>
        <v>0</v>
      </c>
      <c r="AE208" s="56" t="n">
        <f aca="false">ROUND(U207*(1+N(Debts!$D$10)/12),2)</f>
        <v>0</v>
      </c>
      <c r="AF208" s="56" t="n">
        <f aca="false">ROUND(V207*(1+N(Debts!$D$11)/12),2)</f>
        <v>0</v>
      </c>
      <c r="AG208" s="56" t="n">
        <f aca="false">ROUND(W207*(1+N(Debts!$D$12)/12),2)</f>
        <v>0</v>
      </c>
      <c r="AH208" s="56" t="n">
        <f aca="false">ROUND(X207*(1+N(Debts!$D$13)/12),2)</f>
        <v>0</v>
      </c>
      <c r="AI208" s="56" t="n">
        <f aca="false">ROUND(Y207*(1+N(Debts!$D$14)/12),2)</f>
        <v>0</v>
      </c>
      <c r="AJ208" s="56" t="n">
        <f aca="false">MIN(Z208,MAX(0,N(Debts!$E$5)))</f>
        <v>0</v>
      </c>
      <c r="AK208" s="56" t="n">
        <f aca="false">MIN(AA208,MAX(0,N(Debts!$E$6)))</f>
        <v>0</v>
      </c>
      <c r="AL208" s="56" t="n">
        <f aca="false">MIN(AB208,MAX(0,N(Debts!$E$7)))</f>
        <v>0</v>
      </c>
      <c r="AM208" s="56" t="n">
        <f aca="false">MIN(AC208,MAX(0,N(Debts!$E$8)))</f>
        <v>0</v>
      </c>
      <c r="AN208" s="56" t="n">
        <f aca="false">MIN(AD208,MAX(0,N(Debts!$E$9)))</f>
        <v>0</v>
      </c>
      <c r="AO208" s="56" t="n">
        <f aca="false">MIN(AE208,MAX(0,N(Debts!$E$10)))</f>
        <v>0</v>
      </c>
      <c r="AP208" s="56" t="n">
        <f aca="false">MIN(AF208,MAX(0,N(Debts!$E$11)))</f>
        <v>0</v>
      </c>
      <c r="AQ208" s="56" t="n">
        <f aca="false">MIN(AG208,MAX(0,N(Debts!$E$12)))</f>
        <v>0</v>
      </c>
      <c r="AR208" s="56" t="n">
        <f aca="false">MIN(AH208,MAX(0,N(Debts!$E$13)))</f>
        <v>0</v>
      </c>
      <c r="AS208" s="56" t="n">
        <f aca="false">MIN(AI208,MAX(0,N(Debts!$E$14)))</f>
        <v>0</v>
      </c>
    </row>
    <row r="209" customFormat="false" ht="15" hidden="false" customHeight="false" outlineLevel="0" collapsed="false">
      <c r="A209" s="53" t="n">
        <v>205</v>
      </c>
      <c r="B209" s="54" t="n">
        <f aca="false">EDATE('Start Here'!$B$8,204)</f>
        <v>52536</v>
      </c>
      <c r="C209" s="42" t="n">
        <f aca="false">SUM(F209:O209)</f>
        <v>0</v>
      </c>
      <c r="D209" s="42" t="n">
        <f aca="false">ROUND(SUM($Z209:$AI209)-SUM(P208:Y208),2)</f>
        <v>0</v>
      </c>
      <c r="E209" s="55" t="n">
        <f aca="false">SUM(P209:Y209)</f>
        <v>0</v>
      </c>
      <c r="F209" s="42" t="n">
        <f aca="false">AJ209+MIN(Z209-AJ209,MAX(0,'Start Here'!$B$10-SUM($AJ209:$AS209)-SUMPRODUCT(($Z$3:$AI$3&lt;Z$3)*($Z209:$AI209-$AJ209:$AS209))))</f>
        <v>0</v>
      </c>
      <c r="G209" s="42" t="n">
        <f aca="false">AK209+MIN(AA209-AK209,MAX(0,'Start Here'!$B$10-SUM($AJ209:$AS209)-SUMPRODUCT(($Z$3:$AI$3&lt;AA$3)*($Z209:$AI209-$AJ209:$AS209))))</f>
        <v>0</v>
      </c>
      <c r="H209" s="42" t="n">
        <f aca="false">AL209+MIN(AB209-AL209,MAX(0,'Start Here'!$B$10-SUM($AJ209:$AS209)-SUMPRODUCT(($Z$3:$AI$3&lt;AB$3)*($Z209:$AI209-$AJ209:$AS209))))</f>
        <v>0</v>
      </c>
      <c r="I209" s="42" t="n">
        <f aca="false">AM209+MIN(AC209-AM209,MAX(0,'Start Here'!$B$10-SUM($AJ209:$AS209)-SUMPRODUCT(($Z$3:$AI$3&lt;AC$3)*($Z209:$AI209-$AJ209:$AS209))))</f>
        <v>0</v>
      </c>
      <c r="J209" s="42" t="n">
        <f aca="false">AN209+MIN(AD209-AN209,MAX(0,'Start Here'!$B$10-SUM($AJ209:$AS209)-SUMPRODUCT(($Z$3:$AI$3&lt;AD$3)*($Z209:$AI209-$AJ209:$AS209))))</f>
        <v>0</v>
      </c>
      <c r="K209" s="42" t="n">
        <f aca="false">AO209+MIN(AE209-AO209,MAX(0,'Start Here'!$B$10-SUM($AJ209:$AS209)-SUMPRODUCT(($Z$3:$AI$3&lt;AE$3)*($Z209:$AI209-$AJ209:$AS209))))</f>
        <v>0</v>
      </c>
      <c r="L209" s="42" t="n">
        <f aca="false">AP209+MIN(AF209-AP209,MAX(0,'Start Here'!$B$10-SUM($AJ209:$AS209)-SUMPRODUCT(($Z$3:$AI$3&lt;AF$3)*($Z209:$AI209-$AJ209:$AS209))))</f>
        <v>0</v>
      </c>
      <c r="M209" s="42" t="n">
        <f aca="false">AQ209+MIN(AG209-AQ209,MAX(0,'Start Here'!$B$10-SUM($AJ209:$AS209)-SUMPRODUCT(($Z$3:$AI$3&lt;AG$3)*($Z209:$AI209-$AJ209:$AS209))))</f>
        <v>0</v>
      </c>
      <c r="N209" s="42" t="n">
        <f aca="false">AR209+MIN(AH209-AR209,MAX(0,'Start Here'!$B$10-SUM($AJ209:$AS209)-SUMPRODUCT(($Z$3:$AI$3&lt;AH$3)*($Z209:$AI209-$AJ209:$AS209))))</f>
        <v>0</v>
      </c>
      <c r="O209" s="42" t="n">
        <f aca="false">AS209+MIN(AI209-AS209,MAX(0,'Start Here'!$B$10-SUM($AJ209:$AS209)-SUMPRODUCT(($Z$3:$AI$3&lt;AI$3)*($Z209:$AI209-$AJ209:$AS209))))</f>
        <v>0</v>
      </c>
      <c r="P209" s="42" t="n">
        <f aca="false">ROUND(Z209-F209,2)</f>
        <v>0</v>
      </c>
      <c r="Q209" s="42" t="n">
        <f aca="false">ROUND(AA209-G209,2)</f>
        <v>0</v>
      </c>
      <c r="R209" s="42" t="n">
        <f aca="false">ROUND(AB209-H209,2)</f>
        <v>0</v>
      </c>
      <c r="S209" s="42" t="n">
        <f aca="false">ROUND(AC209-I209,2)</f>
        <v>0</v>
      </c>
      <c r="T209" s="42" t="n">
        <f aca="false">ROUND(AD209-J209,2)</f>
        <v>0</v>
      </c>
      <c r="U209" s="42" t="n">
        <f aca="false">ROUND(AE209-K209,2)</f>
        <v>0</v>
      </c>
      <c r="V209" s="42" t="n">
        <f aca="false">ROUND(AF209-L209,2)</f>
        <v>0</v>
      </c>
      <c r="W209" s="42" t="n">
        <f aca="false">ROUND(AG209-M209,2)</f>
        <v>0</v>
      </c>
      <c r="X209" s="42" t="n">
        <f aca="false">ROUND(AH209-N209,2)</f>
        <v>0</v>
      </c>
      <c r="Y209" s="42" t="n">
        <f aca="false">ROUND(AI209-O209,2)</f>
        <v>0</v>
      </c>
      <c r="Z209" s="56" t="n">
        <f aca="false">ROUND(P208*(1+N(Debts!$D$5)/12),2)</f>
        <v>0</v>
      </c>
      <c r="AA209" s="56" t="n">
        <f aca="false">ROUND(Q208*(1+N(Debts!$D$6)/12),2)</f>
        <v>0</v>
      </c>
      <c r="AB209" s="56" t="n">
        <f aca="false">ROUND(R208*(1+N(Debts!$D$7)/12),2)</f>
        <v>0</v>
      </c>
      <c r="AC209" s="56" t="n">
        <f aca="false">ROUND(S208*(1+N(Debts!$D$8)/12),2)</f>
        <v>0</v>
      </c>
      <c r="AD209" s="56" t="n">
        <f aca="false">ROUND(T208*(1+N(Debts!$D$9)/12),2)</f>
        <v>0</v>
      </c>
      <c r="AE209" s="56" t="n">
        <f aca="false">ROUND(U208*(1+N(Debts!$D$10)/12),2)</f>
        <v>0</v>
      </c>
      <c r="AF209" s="56" t="n">
        <f aca="false">ROUND(V208*(1+N(Debts!$D$11)/12),2)</f>
        <v>0</v>
      </c>
      <c r="AG209" s="56" t="n">
        <f aca="false">ROUND(W208*(1+N(Debts!$D$12)/12),2)</f>
        <v>0</v>
      </c>
      <c r="AH209" s="56" t="n">
        <f aca="false">ROUND(X208*(1+N(Debts!$D$13)/12),2)</f>
        <v>0</v>
      </c>
      <c r="AI209" s="56" t="n">
        <f aca="false">ROUND(Y208*(1+N(Debts!$D$14)/12),2)</f>
        <v>0</v>
      </c>
      <c r="AJ209" s="56" t="n">
        <f aca="false">MIN(Z209,MAX(0,N(Debts!$E$5)))</f>
        <v>0</v>
      </c>
      <c r="AK209" s="56" t="n">
        <f aca="false">MIN(AA209,MAX(0,N(Debts!$E$6)))</f>
        <v>0</v>
      </c>
      <c r="AL209" s="56" t="n">
        <f aca="false">MIN(AB209,MAX(0,N(Debts!$E$7)))</f>
        <v>0</v>
      </c>
      <c r="AM209" s="56" t="n">
        <f aca="false">MIN(AC209,MAX(0,N(Debts!$E$8)))</f>
        <v>0</v>
      </c>
      <c r="AN209" s="56" t="n">
        <f aca="false">MIN(AD209,MAX(0,N(Debts!$E$9)))</f>
        <v>0</v>
      </c>
      <c r="AO209" s="56" t="n">
        <f aca="false">MIN(AE209,MAX(0,N(Debts!$E$10)))</f>
        <v>0</v>
      </c>
      <c r="AP209" s="56" t="n">
        <f aca="false">MIN(AF209,MAX(0,N(Debts!$E$11)))</f>
        <v>0</v>
      </c>
      <c r="AQ209" s="56" t="n">
        <f aca="false">MIN(AG209,MAX(0,N(Debts!$E$12)))</f>
        <v>0</v>
      </c>
      <c r="AR209" s="56" t="n">
        <f aca="false">MIN(AH209,MAX(0,N(Debts!$E$13)))</f>
        <v>0</v>
      </c>
      <c r="AS209" s="56" t="n">
        <f aca="false">MIN(AI209,MAX(0,N(Debts!$E$14)))</f>
        <v>0</v>
      </c>
    </row>
    <row r="210" customFormat="false" ht="15" hidden="false" customHeight="false" outlineLevel="0" collapsed="false">
      <c r="A210" s="53" t="n">
        <v>206</v>
      </c>
      <c r="B210" s="54" t="n">
        <f aca="false">EDATE('Start Here'!$B$8,205)</f>
        <v>52566</v>
      </c>
      <c r="C210" s="42" t="n">
        <f aca="false">SUM(F210:O210)</f>
        <v>0</v>
      </c>
      <c r="D210" s="42" t="n">
        <f aca="false">ROUND(SUM($Z210:$AI210)-SUM(P209:Y209),2)</f>
        <v>0</v>
      </c>
      <c r="E210" s="55" t="n">
        <f aca="false">SUM(P210:Y210)</f>
        <v>0</v>
      </c>
      <c r="F210" s="42" t="n">
        <f aca="false">AJ210+MIN(Z210-AJ210,MAX(0,'Start Here'!$B$10-SUM($AJ210:$AS210)-SUMPRODUCT(($Z$3:$AI$3&lt;Z$3)*($Z210:$AI210-$AJ210:$AS210))))</f>
        <v>0</v>
      </c>
      <c r="G210" s="42" t="n">
        <f aca="false">AK210+MIN(AA210-AK210,MAX(0,'Start Here'!$B$10-SUM($AJ210:$AS210)-SUMPRODUCT(($Z$3:$AI$3&lt;AA$3)*($Z210:$AI210-$AJ210:$AS210))))</f>
        <v>0</v>
      </c>
      <c r="H210" s="42" t="n">
        <f aca="false">AL210+MIN(AB210-AL210,MAX(0,'Start Here'!$B$10-SUM($AJ210:$AS210)-SUMPRODUCT(($Z$3:$AI$3&lt;AB$3)*($Z210:$AI210-$AJ210:$AS210))))</f>
        <v>0</v>
      </c>
      <c r="I210" s="42" t="n">
        <f aca="false">AM210+MIN(AC210-AM210,MAX(0,'Start Here'!$B$10-SUM($AJ210:$AS210)-SUMPRODUCT(($Z$3:$AI$3&lt;AC$3)*($Z210:$AI210-$AJ210:$AS210))))</f>
        <v>0</v>
      </c>
      <c r="J210" s="42" t="n">
        <f aca="false">AN210+MIN(AD210-AN210,MAX(0,'Start Here'!$B$10-SUM($AJ210:$AS210)-SUMPRODUCT(($Z$3:$AI$3&lt;AD$3)*($Z210:$AI210-$AJ210:$AS210))))</f>
        <v>0</v>
      </c>
      <c r="K210" s="42" t="n">
        <f aca="false">AO210+MIN(AE210-AO210,MAX(0,'Start Here'!$B$10-SUM($AJ210:$AS210)-SUMPRODUCT(($Z$3:$AI$3&lt;AE$3)*($Z210:$AI210-$AJ210:$AS210))))</f>
        <v>0</v>
      </c>
      <c r="L210" s="42" t="n">
        <f aca="false">AP210+MIN(AF210-AP210,MAX(0,'Start Here'!$B$10-SUM($AJ210:$AS210)-SUMPRODUCT(($Z$3:$AI$3&lt;AF$3)*($Z210:$AI210-$AJ210:$AS210))))</f>
        <v>0</v>
      </c>
      <c r="M210" s="42" t="n">
        <f aca="false">AQ210+MIN(AG210-AQ210,MAX(0,'Start Here'!$B$10-SUM($AJ210:$AS210)-SUMPRODUCT(($Z$3:$AI$3&lt;AG$3)*($Z210:$AI210-$AJ210:$AS210))))</f>
        <v>0</v>
      </c>
      <c r="N210" s="42" t="n">
        <f aca="false">AR210+MIN(AH210-AR210,MAX(0,'Start Here'!$B$10-SUM($AJ210:$AS210)-SUMPRODUCT(($Z$3:$AI$3&lt;AH$3)*($Z210:$AI210-$AJ210:$AS210))))</f>
        <v>0</v>
      </c>
      <c r="O210" s="42" t="n">
        <f aca="false">AS210+MIN(AI210-AS210,MAX(0,'Start Here'!$B$10-SUM($AJ210:$AS210)-SUMPRODUCT(($Z$3:$AI$3&lt;AI$3)*($Z210:$AI210-$AJ210:$AS210))))</f>
        <v>0</v>
      </c>
      <c r="P210" s="42" t="n">
        <f aca="false">ROUND(Z210-F210,2)</f>
        <v>0</v>
      </c>
      <c r="Q210" s="42" t="n">
        <f aca="false">ROUND(AA210-G210,2)</f>
        <v>0</v>
      </c>
      <c r="R210" s="42" t="n">
        <f aca="false">ROUND(AB210-H210,2)</f>
        <v>0</v>
      </c>
      <c r="S210" s="42" t="n">
        <f aca="false">ROUND(AC210-I210,2)</f>
        <v>0</v>
      </c>
      <c r="T210" s="42" t="n">
        <f aca="false">ROUND(AD210-J210,2)</f>
        <v>0</v>
      </c>
      <c r="U210" s="42" t="n">
        <f aca="false">ROUND(AE210-K210,2)</f>
        <v>0</v>
      </c>
      <c r="V210" s="42" t="n">
        <f aca="false">ROUND(AF210-L210,2)</f>
        <v>0</v>
      </c>
      <c r="W210" s="42" t="n">
        <f aca="false">ROUND(AG210-M210,2)</f>
        <v>0</v>
      </c>
      <c r="X210" s="42" t="n">
        <f aca="false">ROUND(AH210-N210,2)</f>
        <v>0</v>
      </c>
      <c r="Y210" s="42" t="n">
        <f aca="false">ROUND(AI210-O210,2)</f>
        <v>0</v>
      </c>
      <c r="Z210" s="56" t="n">
        <f aca="false">ROUND(P209*(1+N(Debts!$D$5)/12),2)</f>
        <v>0</v>
      </c>
      <c r="AA210" s="56" t="n">
        <f aca="false">ROUND(Q209*(1+N(Debts!$D$6)/12),2)</f>
        <v>0</v>
      </c>
      <c r="AB210" s="56" t="n">
        <f aca="false">ROUND(R209*(1+N(Debts!$D$7)/12),2)</f>
        <v>0</v>
      </c>
      <c r="AC210" s="56" t="n">
        <f aca="false">ROUND(S209*(1+N(Debts!$D$8)/12),2)</f>
        <v>0</v>
      </c>
      <c r="AD210" s="56" t="n">
        <f aca="false">ROUND(T209*(1+N(Debts!$D$9)/12),2)</f>
        <v>0</v>
      </c>
      <c r="AE210" s="56" t="n">
        <f aca="false">ROUND(U209*(1+N(Debts!$D$10)/12),2)</f>
        <v>0</v>
      </c>
      <c r="AF210" s="56" t="n">
        <f aca="false">ROUND(V209*(1+N(Debts!$D$11)/12),2)</f>
        <v>0</v>
      </c>
      <c r="AG210" s="56" t="n">
        <f aca="false">ROUND(W209*(1+N(Debts!$D$12)/12),2)</f>
        <v>0</v>
      </c>
      <c r="AH210" s="56" t="n">
        <f aca="false">ROUND(X209*(1+N(Debts!$D$13)/12),2)</f>
        <v>0</v>
      </c>
      <c r="AI210" s="56" t="n">
        <f aca="false">ROUND(Y209*(1+N(Debts!$D$14)/12),2)</f>
        <v>0</v>
      </c>
      <c r="AJ210" s="56" t="n">
        <f aca="false">MIN(Z210,MAX(0,N(Debts!$E$5)))</f>
        <v>0</v>
      </c>
      <c r="AK210" s="56" t="n">
        <f aca="false">MIN(AA210,MAX(0,N(Debts!$E$6)))</f>
        <v>0</v>
      </c>
      <c r="AL210" s="56" t="n">
        <f aca="false">MIN(AB210,MAX(0,N(Debts!$E$7)))</f>
        <v>0</v>
      </c>
      <c r="AM210" s="56" t="n">
        <f aca="false">MIN(AC210,MAX(0,N(Debts!$E$8)))</f>
        <v>0</v>
      </c>
      <c r="AN210" s="56" t="n">
        <f aca="false">MIN(AD210,MAX(0,N(Debts!$E$9)))</f>
        <v>0</v>
      </c>
      <c r="AO210" s="56" t="n">
        <f aca="false">MIN(AE210,MAX(0,N(Debts!$E$10)))</f>
        <v>0</v>
      </c>
      <c r="AP210" s="56" t="n">
        <f aca="false">MIN(AF210,MAX(0,N(Debts!$E$11)))</f>
        <v>0</v>
      </c>
      <c r="AQ210" s="56" t="n">
        <f aca="false">MIN(AG210,MAX(0,N(Debts!$E$12)))</f>
        <v>0</v>
      </c>
      <c r="AR210" s="56" t="n">
        <f aca="false">MIN(AH210,MAX(0,N(Debts!$E$13)))</f>
        <v>0</v>
      </c>
      <c r="AS210" s="56" t="n">
        <f aca="false">MIN(AI210,MAX(0,N(Debts!$E$14)))</f>
        <v>0</v>
      </c>
    </row>
    <row r="211" customFormat="false" ht="15" hidden="false" customHeight="false" outlineLevel="0" collapsed="false">
      <c r="A211" s="53" t="n">
        <v>207</v>
      </c>
      <c r="B211" s="54" t="n">
        <f aca="false">EDATE('Start Here'!$B$8,206)</f>
        <v>52597</v>
      </c>
      <c r="C211" s="42" t="n">
        <f aca="false">SUM(F211:O211)</f>
        <v>0</v>
      </c>
      <c r="D211" s="42" t="n">
        <f aca="false">ROUND(SUM($Z211:$AI211)-SUM(P210:Y210),2)</f>
        <v>0</v>
      </c>
      <c r="E211" s="55" t="n">
        <f aca="false">SUM(P211:Y211)</f>
        <v>0</v>
      </c>
      <c r="F211" s="42" t="n">
        <f aca="false">AJ211+MIN(Z211-AJ211,MAX(0,'Start Here'!$B$10-SUM($AJ211:$AS211)-SUMPRODUCT(($Z$3:$AI$3&lt;Z$3)*($Z211:$AI211-$AJ211:$AS211))))</f>
        <v>0</v>
      </c>
      <c r="G211" s="42" t="n">
        <f aca="false">AK211+MIN(AA211-AK211,MAX(0,'Start Here'!$B$10-SUM($AJ211:$AS211)-SUMPRODUCT(($Z$3:$AI$3&lt;AA$3)*($Z211:$AI211-$AJ211:$AS211))))</f>
        <v>0</v>
      </c>
      <c r="H211" s="42" t="n">
        <f aca="false">AL211+MIN(AB211-AL211,MAX(0,'Start Here'!$B$10-SUM($AJ211:$AS211)-SUMPRODUCT(($Z$3:$AI$3&lt;AB$3)*($Z211:$AI211-$AJ211:$AS211))))</f>
        <v>0</v>
      </c>
      <c r="I211" s="42" t="n">
        <f aca="false">AM211+MIN(AC211-AM211,MAX(0,'Start Here'!$B$10-SUM($AJ211:$AS211)-SUMPRODUCT(($Z$3:$AI$3&lt;AC$3)*($Z211:$AI211-$AJ211:$AS211))))</f>
        <v>0</v>
      </c>
      <c r="J211" s="42" t="n">
        <f aca="false">AN211+MIN(AD211-AN211,MAX(0,'Start Here'!$B$10-SUM($AJ211:$AS211)-SUMPRODUCT(($Z$3:$AI$3&lt;AD$3)*($Z211:$AI211-$AJ211:$AS211))))</f>
        <v>0</v>
      </c>
      <c r="K211" s="42" t="n">
        <f aca="false">AO211+MIN(AE211-AO211,MAX(0,'Start Here'!$B$10-SUM($AJ211:$AS211)-SUMPRODUCT(($Z$3:$AI$3&lt;AE$3)*($Z211:$AI211-$AJ211:$AS211))))</f>
        <v>0</v>
      </c>
      <c r="L211" s="42" t="n">
        <f aca="false">AP211+MIN(AF211-AP211,MAX(0,'Start Here'!$B$10-SUM($AJ211:$AS211)-SUMPRODUCT(($Z$3:$AI$3&lt;AF$3)*($Z211:$AI211-$AJ211:$AS211))))</f>
        <v>0</v>
      </c>
      <c r="M211" s="42" t="n">
        <f aca="false">AQ211+MIN(AG211-AQ211,MAX(0,'Start Here'!$B$10-SUM($AJ211:$AS211)-SUMPRODUCT(($Z$3:$AI$3&lt;AG$3)*($Z211:$AI211-$AJ211:$AS211))))</f>
        <v>0</v>
      </c>
      <c r="N211" s="42" t="n">
        <f aca="false">AR211+MIN(AH211-AR211,MAX(0,'Start Here'!$B$10-SUM($AJ211:$AS211)-SUMPRODUCT(($Z$3:$AI$3&lt;AH$3)*($Z211:$AI211-$AJ211:$AS211))))</f>
        <v>0</v>
      </c>
      <c r="O211" s="42" t="n">
        <f aca="false">AS211+MIN(AI211-AS211,MAX(0,'Start Here'!$B$10-SUM($AJ211:$AS211)-SUMPRODUCT(($Z$3:$AI$3&lt;AI$3)*($Z211:$AI211-$AJ211:$AS211))))</f>
        <v>0</v>
      </c>
      <c r="P211" s="42" t="n">
        <f aca="false">ROUND(Z211-F211,2)</f>
        <v>0</v>
      </c>
      <c r="Q211" s="42" t="n">
        <f aca="false">ROUND(AA211-G211,2)</f>
        <v>0</v>
      </c>
      <c r="R211" s="42" t="n">
        <f aca="false">ROUND(AB211-H211,2)</f>
        <v>0</v>
      </c>
      <c r="S211" s="42" t="n">
        <f aca="false">ROUND(AC211-I211,2)</f>
        <v>0</v>
      </c>
      <c r="T211" s="42" t="n">
        <f aca="false">ROUND(AD211-J211,2)</f>
        <v>0</v>
      </c>
      <c r="U211" s="42" t="n">
        <f aca="false">ROUND(AE211-K211,2)</f>
        <v>0</v>
      </c>
      <c r="V211" s="42" t="n">
        <f aca="false">ROUND(AF211-L211,2)</f>
        <v>0</v>
      </c>
      <c r="W211" s="42" t="n">
        <f aca="false">ROUND(AG211-M211,2)</f>
        <v>0</v>
      </c>
      <c r="X211" s="42" t="n">
        <f aca="false">ROUND(AH211-N211,2)</f>
        <v>0</v>
      </c>
      <c r="Y211" s="42" t="n">
        <f aca="false">ROUND(AI211-O211,2)</f>
        <v>0</v>
      </c>
      <c r="Z211" s="56" t="n">
        <f aca="false">ROUND(P210*(1+N(Debts!$D$5)/12),2)</f>
        <v>0</v>
      </c>
      <c r="AA211" s="56" t="n">
        <f aca="false">ROUND(Q210*(1+N(Debts!$D$6)/12),2)</f>
        <v>0</v>
      </c>
      <c r="AB211" s="56" t="n">
        <f aca="false">ROUND(R210*(1+N(Debts!$D$7)/12),2)</f>
        <v>0</v>
      </c>
      <c r="AC211" s="56" t="n">
        <f aca="false">ROUND(S210*(1+N(Debts!$D$8)/12),2)</f>
        <v>0</v>
      </c>
      <c r="AD211" s="56" t="n">
        <f aca="false">ROUND(T210*(1+N(Debts!$D$9)/12),2)</f>
        <v>0</v>
      </c>
      <c r="AE211" s="56" t="n">
        <f aca="false">ROUND(U210*(1+N(Debts!$D$10)/12),2)</f>
        <v>0</v>
      </c>
      <c r="AF211" s="56" t="n">
        <f aca="false">ROUND(V210*(1+N(Debts!$D$11)/12),2)</f>
        <v>0</v>
      </c>
      <c r="AG211" s="56" t="n">
        <f aca="false">ROUND(W210*(1+N(Debts!$D$12)/12),2)</f>
        <v>0</v>
      </c>
      <c r="AH211" s="56" t="n">
        <f aca="false">ROUND(X210*(1+N(Debts!$D$13)/12),2)</f>
        <v>0</v>
      </c>
      <c r="AI211" s="56" t="n">
        <f aca="false">ROUND(Y210*(1+N(Debts!$D$14)/12),2)</f>
        <v>0</v>
      </c>
      <c r="AJ211" s="56" t="n">
        <f aca="false">MIN(Z211,MAX(0,N(Debts!$E$5)))</f>
        <v>0</v>
      </c>
      <c r="AK211" s="56" t="n">
        <f aca="false">MIN(AA211,MAX(0,N(Debts!$E$6)))</f>
        <v>0</v>
      </c>
      <c r="AL211" s="56" t="n">
        <f aca="false">MIN(AB211,MAX(0,N(Debts!$E$7)))</f>
        <v>0</v>
      </c>
      <c r="AM211" s="56" t="n">
        <f aca="false">MIN(AC211,MAX(0,N(Debts!$E$8)))</f>
        <v>0</v>
      </c>
      <c r="AN211" s="56" t="n">
        <f aca="false">MIN(AD211,MAX(0,N(Debts!$E$9)))</f>
        <v>0</v>
      </c>
      <c r="AO211" s="56" t="n">
        <f aca="false">MIN(AE211,MAX(0,N(Debts!$E$10)))</f>
        <v>0</v>
      </c>
      <c r="AP211" s="56" t="n">
        <f aca="false">MIN(AF211,MAX(0,N(Debts!$E$11)))</f>
        <v>0</v>
      </c>
      <c r="AQ211" s="56" t="n">
        <f aca="false">MIN(AG211,MAX(0,N(Debts!$E$12)))</f>
        <v>0</v>
      </c>
      <c r="AR211" s="56" t="n">
        <f aca="false">MIN(AH211,MAX(0,N(Debts!$E$13)))</f>
        <v>0</v>
      </c>
      <c r="AS211" s="56" t="n">
        <f aca="false">MIN(AI211,MAX(0,N(Debts!$E$14)))</f>
        <v>0</v>
      </c>
    </row>
    <row r="212" customFormat="false" ht="15" hidden="false" customHeight="false" outlineLevel="0" collapsed="false">
      <c r="A212" s="53" t="n">
        <v>208</v>
      </c>
      <c r="B212" s="54" t="n">
        <f aca="false">EDATE('Start Here'!$B$8,207)</f>
        <v>52628</v>
      </c>
      <c r="C212" s="42" t="n">
        <f aca="false">SUM(F212:O212)</f>
        <v>0</v>
      </c>
      <c r="D212" s="42" t="n">
        <f aca="false">ROUND(SUM($Z212:$AI212)-SUM(P211:Y211),2)</f>
        <v>0</v>
      </c>
      <c r="E212" s="55" t="n">
        <f aca="false">SUM(P212:Y212)</f>
        <v>0</v>
      </c>
      <c r="F212" s="42" t="n">
        <f aca="false">AJ212+MIN(Z212-AJ212,MAX(0,'Start Here'!$B$10-SUM($AJ212:$AS212)-SUMPRODUCT(($Z$3:$AI$3&lt;Z$3)*($Z212:$AI212-$AJ212:$AS212))))</f>
        <v>0</v>
      </c>
      <c r="G212" s="42" t="n">
        <f aca="false">AK212+MIN(AA212-AK212,MAX(0,'Start Here'!$B$10-SUM($AJ212:$AS212)-SUMPRODUCT(($Z$3:$AI$3&lt;AA$3)*($Z212:$AI212-$AJ212:$AS212))))</f>
        <v>0</v>
      </c>
      <c r="H212" s="42" t="n">
        <f aca="false">AL212+MIN(AB212-AL212,MAX(0,'Start Here'!$B$10-SUM($AJ212:$AS212)-SUMPRODUCT(($Z$3:$AI$3&lt;AB$3)*($Z212:$AI212-$AJ212:$AS212))))</f>
        <v>0</v>
      </c>
      <c r="I212" s="42" t="n">
        <f aca="false">AM212+MIN(AC212-AM212,MAX(0,'Start Here'!$B$10-SUM($AJ212:$AS212)-SUMPRODUCT(($Z$3:$AI$3&lt;AC$3)*($Z212:$AI212-$AJ212:$AS212))))</f>
        <v>0</v>
      </c>
      <c r="J212" s="42" t="n">
        <f aca="false">AN212+MIN(AD212-AN212,MAX(0,'Start Here'!$B$10-SUM($AJ212:$AS212)-SUMPRODUCT(($Z$3:$AI$3&lt;AD$3)*($Z212:$AI212-$AJ212:$AS212))))</f>
        <v>0</v>
      </c>
      <c r="K212" s="42" t="n">
        <f aca="false">AO212+MIN(AE212-AO212,MAX(0,'Start Here'!$B$10-SUM($AJ212:$AS212)-SUMPRODUCT(($Z$3:$AI$3&lt;AE$3)*($Z212:$AI212-$AJ212:$AS212))))</f>
        <v>0</v>
      </c>
      <c r="L212" s="42" t="n">
        <f aca="false">AP212+MIN(AF212-AP212,MAX(0,'Start Here'!$B$10-SUM($AJ212:$AS212)-SUMPRODUCT(($Z$3:$AI$3&lt;AF$3)*($Z212:$AI212-$AJ212:$AS212))))</f>
        <v>0</v>
      </c>
      <c r="M212" s="42" t="n">
        <f aca="false">AQ212+MIN(AG212-AQ212,MAX(0,'Start Here'!$B$10-SUM($AJ212:$AS212)-SUMPRODUCT(($Z$3:$AI$3&lt;AG$3)*($Z212:$AI212-$AJ212:$AS212))))</f>
        <v>0</v>
      </c>
      <c r="N212" s="42" t="n">
        <f aca="false">AR212+MIN(AH212-AR212,MAX(0,'Start Here'!$B$10-SUM($AJ212:$AS212)-SUMPRODUCT(($Z$3:$AI$3&lt;AH$3)*($Z212:$AI212-$AJ212:$AS212))))</f>
        <v>0</v>
      </c>
      <c r="O212" s="42" t="n">
        <f aca="false">AS212+MIN(AI212-AS212,MAX(0,'Start Here'!$B$10-SUM($AJ212:$AS212)-SUMPRODUCT(($Z$3:$AI$3&lt;AI$3)*($Z212:$AI212-$AJ212:$AS212))))</f>
        <v>0</v>
      </c>
      <c r="P212" s="42" t="n">
        <f aca="false">ROUND(Z212-F212,2)</f>
        <v>0</v>
      </c>
      <c r="Q212" s="42" t="n">
        <f aca="false">ROUND(AA212-G212,2)</f>
        <v>0</v>
      </c>
      <c r="R212" s="42" t="n">
        <f aca="false">ROUND(AB212-H212,2)</f>
        <v>0</v>
      </c>
      <c r="S212" s="42" t="n">
        <f aca="false">ROUND(AC212-I212,2)</f>
        <v>0</v>
      </c>
      <c r="T212" s="42" t="n">
        <f aca="false">ROUND(AD212-J212,2)</f>
        <v>0</v>
      </c>
      <c r="U212" s="42" t="n">
        <f aca="false">ROUND(AE212-K212,2)</f>
        <v>0</v>
      </c>
      <c r="V212" s="42" t="n">
        <f aca="false">ROUND(AF212-L212,2)</f>
        <v>0</v>
      </c>
      <c r="W212" s="42" t="n">
        <f aca="false">ROUND(AG212-M212,2)</f>
        <v>0</v>
      </c>
      <c r="X212" s="42" t="n">
        <f aca="false">ROUND(AH212-N212,2)</f>
        <v>0</v>
      </c>
      <c r="Y212" s="42" t="n">
        <f aca="false">ROUND(AI212-O212,2)</f>
        <v>0</v>
      </c>
      <c r="Z212" s="56" t="n">
        <f aca="false">ROUND(P211*(1+N(Debts!$D$5)/12),2)</f>
        <v>0</v>
      </c>
      <c r="AA212" s="56" t="n">
        <f aca="false">ROUND(Q211*(1+N(Debts!$D$6)/12),2)</f>
        <v>0</v>
      </c>
      <c r="AB212" s="56" t="n">
        <f aca="false">ROUND(R211*(1+N(Debts!$D$7)/12),2)</f>
        <v>0</v>
      </c>
      <c r="AC212" s="56" t="n">
        <f aca="false">ROUND(S211*(1+N(Debts!$D$8)/12),2)</f>
        <v>0</v>
      </c>
      <c r="AD212" s="56" t="n">
        <f aca="false">ROUND(T211*(1+N(Debts!$D$9)/12),2)</f>
        <v>0</v>
      </c>
      <c r="AE212" s="56" t="n">
        <f aca="false">ROUND(U211*(1+N(Debts!$D$10)/12),2)</f>
        <v>0</v>
      </c>
      <c r="AF212" s="56" t="n">
        <f aca="false">ROUND(V211*(1+N(Debts!$D$11)/12),2)</f>
        <v>0</v>
      </c>
      <c r="AG212" s="56" t="n">
        <f aca="false">ROUND(W211*(1+N(Debts!$D$12)/12),2)</f>
        <v>0</v>
      </c>
      <c r="AH212" s="56" t="n">
        <f aca="false">ROUND(X211*(1+N(Debts!$D$13)/12),2)</f>
        <v>0</v>
      </c>
      <c r="AI212" s="56" t="n">
        <f aca="false">ROUND(Y211*(1+N(Debts!$D$14)/12),2)</f>
        <v>0</v>
      </c>
      <c r="AJ212" s="56" t="n">
        <f aca="false">MIN(Z212,MAX(0,N(Debts!$E$5)))</f>
        <v>0</v>
      </c>
      <c r="AK212" s="56" t="n">
        <f aca="false">MIN(AA212,MAX(0,N(Debts!$E$6)))</f>
        <v>0</v>
      </c>
      <c r="AL212" s="56" t="n">
        <f aca="false">MIN(AB212,MAX(0,N(Debts!$E$7)))</f>
        <v>0</v>
      </c>
      <c r="AM212" s="56" t="n">
        <f aca="false">MIN(AC212,MAX(0,N(Debts!$E$8)))</f>
        <v>0</v>
      </c>
      <c r="AN212" s="56" t="n">
        <f aca="false">MIN(AD212,MAX(0,N(Debts!$E$9)))</f>
        <v>0</v>
      </c>
      <c r="AO212" s="56" t="n">
        <f aca="false">MIN(AE212,MAX(0,N(Debts!$E$10)))</f>
        <v>0</v>
      </c>
      <c r="AP212" s="56" t="n">
        <f aca="false">MIN(AF212,MAX(0,N(Debts!$E$11)))</f>
        <v>0</v>
      </c>
      <c r="AQ212" s="56" t="n">
        <f aca="false">MIN(AG212,MAX(0,N(Debts!$E$12)))</f>
        <v>0</v>
      </c>
      <c r="AR212" s="56" t="n">
        <f aca="false">MIN(AH212,MAX(0,N(Debts!$E$13)))</f>
        <v>0</v>
      </c>
      <c r="AS212" s="56" t="n">
        <f aca="false">MIN(AI212,MAX(0,N(Debts!$E$14)))</f>
        <v>0</v>
      </c>
    </row>
    <row r="213" customFormat="false" ht="15" hidden="false" customHeight="false" outlineLevel="0" collapsed="false">
      <c r="A213" s="53" t="n">
        <v>209</v>
      </c>
      <c r="B213" s="54" t="n">
        <f aca="false">EDATE('Start Here'!$B$8,208)</f>
        <v>52657</v>
      </c>
      <c r="C213" s="42" t="n">
        <f aca="false">SUM(F213:O213)</f>
        <v>0</v>
      </c>
      <c r="D213" s="42" t="n">
        <f aca="false">ROUND(SUM($Z213:$AI213)-SUM(P212:Y212),2)</f>
        <v>0</v>
      </c>
      <c r="E213" s="55" t="n">
        <f aca="false">SUM(P213:Y213)</f>
        <v>0</v>
      </c>
      <c r="F213" s="42" t="n">
        <f aca="false">AJ213+MIN(Z213-AJ213,MAX(0,'Start Here'!$B$10-SUM($AJ213:$AS213)-SUMPRODUCT(($Z$3:$AI$3&lt;Z$3)*($Z213:$AI213-$AJ213:$AS213))))</f>
        <v>0</v>
      </c>
      <c r="G213" s="42" t="n">
        <f aca="false">AK213+MIN(AA213-AK213,MAX(0,'Start Here'!$B$10-SUM($AJ213:$AS213)-SUMPRODUCT(($Z$3:$AI$3&lt;AA$3)*($Z213:$AI213-$AJ213:$AS213))))</f>
        <v>0</v>
      </c>
      <c r="H213" s="42" t="n">
        <f aca="false">AL213+MIN(AB213-AL213,MAX(0,'Start Here'!$B$10-SUM($AJ213:$AS213)-SUMPRODUCT(($Z$3:$AI$3&lt;AB$3)*($Z213:$AI213-$AJ213:$AS213))))</f>
        <v>0</v>
      </c>
      <c r="I213" s="42" t="n">
        <f aca="false">AM213+MIN(AC213-AM213,MAX(0,'Start Here'!$B$10-SUM($AJ213:$AS213)-SUMPRODUCT(($Z$3:$AI$3&lt;AC$3)*($Z213:$AI213-$AJ213:$AS213))))</f>
        <v>0</v>
      </c>
      <c r="J213" s="42" t="n">
        <f aca="false">AN213+MIN(AD213-AN213,MAX(0,'Start Here'!$B$10-SUM($AJ213:$AS213)-SUMPRODUCT(($Z$3:$AI$3&lt;AD$3)*($Z213:$AI213-$AJ213:$AS213))))</f>
        <v>0</v>
      </c>
      <c r="K213" s="42" t="n">
        <f aca="false">AO213+MIN(AE213-AO213,MAX(0,'Start Here'!$B$10-SUM($AJ213:$AS213)-SUMPRODUCT(($Z$3:$AI$3&lt;AE$3)*($Z213:$AI213-$AJ213:$AS213))))</f>
        <v>0</v>
      </c>
      <c r="L213" s="42" t="n">
        <f aca="false">AP213+MIN(AF213-AP213,MAX(0,'Start Here'!$B$10-SUM($AJ213:$AS213)-SUMPRODUCT(($Z$3:$AI$3&lt;AF$3)*($Z213:$AI213-$AJ213:$AS213))))</f>
        <v>0</v>
      </c>
      <c r="M213" s="42" t="n">
        <f aca="false">AQ213+MIN(AG213-AQ213,MAX(0,'Start Here'!$B$10-SUM($AJ213:$AS213)-SUMPRODUCT(($Z$3:$AI$3&lt;AG$3)*($Z213:$AI213-$AJ213:$AS213))))</f>
        <v>0</v>
      </c>
      <c r="N213" s="42" t="n">
        <f aca="false">AR213+MIN(AH213-AR213,MAX(0,'Start Here'!$B$10-SUM($AJ213:$AS213)-SUMPRODUCT(($Z$3:$AI$3&lt;AH$3)*($Z213:$AI213-$AJ213:$AS213))))</f>
        <v>0</v>
      </c>
      <c r="O213" s="42" t="n">
        <f aca="false">AS213+MIN(AI213-AS213,MAX(0,'Start Here'!$B$10-SUM($AJ213:$AS213)-SUMPRODUCT(($Z$3:$AI$3&lt;AI$3)*($Z213:$AI213-$AJ213:$AS213))))</f>
        <v>0</v>
      </c>
      <c r="P213" s="42" t="n">
        <f aca="false">ROUND(Z213-F213,2)</f>
        <v>0</v>
      </c>
      <c r="Q213" s="42" t="n">
        <f aca="false">ROUND(AA213-G213,2)</f>
        <v>0</v>
      </c>
      <c r="R213" s="42" t="n">
        <f aca="false">ROUND(AB213-H213,2)</f>
        <v>0</v>
      </c>
      <c r="S213" s="42" t="n">
        <f aca="false">ROUND(AC213-I213,2)</f>
        <v>0</v>
      </c>
      <c r="T213" s="42" t="n">
        <f aca="false">ROUND(AD213-J213,2)</f>
        <v>0</v>
      </c>
      <c r="U213" s="42" t="n">
        <f aca="false">ROUND(AE213-K213,2)</f>
        <v>0</v>
      </c>
      <c r="V213" s="42" t="n">
        <f aca="false">ROUND(AF213-L213,2)</f>
        <v>0</v>
      </c>
      <c r="W213" s="42" t="n">
        <f aca="false">ROUND(AG213-M213,2)</f>
        <v>0</v>
      </c>
      <c r="X213" s="42" t="n">
        <f aca="false">ROUND(AH213-N213,2)</f>
        <v>0</v>
      </c>
      <c r="Y213" s="42" t="n">
        <f aca="false">ROUND(AI213-O213,2)</f>
        <v>0</v>
      </c>
      <c r="Z213" s="56" t="n">
        <f aca="false">ROUND(P212*(1+N(Debts!$D$5)/12),2)</f>
        <v>0</v>
      </c>
      <c r="AA213" s="56" t="n">
        <f aca="false">ROUND(Q212*(1+N(Debts!$D$6)/12),2)</f>
        <v>0</v>
      </c>
      <c r="AB213" s="56" t="n">
        <f aca="false">ROUND(R212*(1+N(Debts!$D$7)/12),2)</f>
        <v>0</v>
      </c>
      <c r="AC213" s="56" t="n">
        <f aca="false">ROUND(S212*(1+N(Debts!$D$8)/12),2)</f>
        <v>0</v>
      </c>
      <c r="AD213" s="56" t="n">
        <f aca="false">ROUND(T212*(1+N(Debts!$D$9)/12),2)</f>
        <v>0</v>
      </c>
      <c r="AE213" s="56" t="n">
        <f aca="false">ROUND(U212*(1+N(Debts!$D$10)/12),2)</f>
        <v>0</v>
      </c>
      <c r="AF213" s="56" t="n">
        <f aca="false">ROUND(V212*(1+N(Debts!$D$11)/12),2)</f>
        <v>0</v>
      </c>
      <c r="AG213" s="56" t="n">
        <f aca="false">ROUND(W212*(1+N(Debts!$D$12)/12),2)</f>
        <v>0</v>
      </c>
      <c r="AH213" s="56" t="n">
        <f aca="false">ROUND(X212*(1+N(Debts!$D$13)/12),2)</f>
        <v>0</v>
      </c>
      <c r="AI213" s="56" t="n">
        <f aca="false">ROUND(Y212*(1+N(Debts!$D$14)/12),2)</f>
        <v>0</v>
      </c>
      <c r="AJ213" s="56" t="n">
        <f aca="false">MIN(Z213,MAX(0,N(Debts!$E$5)))</f>
        <v>0</v>
      </c>
      <c r="AK213" s="56" t="n">
        <f aca="false">MIN(AA213,MAX(0,N(Debts!$E$6)))</f>
        <v>0</v>
      </c>
      <c r="AL213" s="56" t="n">
        <f aca="false">MIN(AB213,MAX(0,N(Debts!$E$7)))</f>
        <v>0</v>
      </c>
      <c r="AM213" s="56" t="n">
        <f aca="false">MIN(AC213,MAX(0,N(Debts!$E$8)))</f>
        <v>0</v>
      </c>
      <c r="AN213" s="56" t="n">
        <f aca="false">MIN(AD213,MAX(0,N(Debts!$E$9)))</f>
        <v>0</v>
      </c>
      <c r="AO213" s="56" t="n">
        <f aca="false">MIN(AE213,MAX(0,N(Debts!$E$10)))</f>
        <v>0</v>
      </c>
      <c r="AP213" s="56" t="n">
        <f aca="false">MIN(AF213,MAX(0,N(Debts!$E$11)))</f>
        <v>0</v>
      </c>
      <c r="AQ213" s="56" t="n">
        <f aca="false">MIN(AG213,MAX(0,N(Debts!$E$12)))</f>
        <v>0</v>
      </c>
      <c r="AR213" s="56" t="n">
        <f aca="false">MIN(AH213,MAX(0,N(Debts!$E$13)))</f>
        <v>0</v>
      </c>
      <c r="AS213" s="56" t="n">
        <f aca="false">MIN(AI213,MAX(0,N(Debts!$E$14)))</f>
        <v>0</v>
      </c>
    </row>
    <row r="214" customFormat="false" ht="15" hidden="false" customHeight="false" outlineLevel="0" collapsed="false">
      <c r="A214" s="53" t="n">
        <v>210</v>
      </c>
      <c r="B214" s="54" t="n">
        <f aca="false">EDATE('Start Here'!$B$8,209)</f>
        <v>52688</v>
      </c>
      <c r="C214" s="42" t="n">
        <f aca="false">SUM(F214:O214)</f>
        <v>0</v>
      </c>
      <c r="D214" s="42" t="n">
        <f aca="false">ROUND(SUM($Z214:$AI214)-SUM(P213:Y213),2)</f>
        <v>0</v>
      </c>
      <c r="E214" s="55" t="n">
        <f aca="false">SUM(P214:Y214)</f>
        <v>0</v>
      </c>
      <c r="F214" s="42" t="n">
        <f aca="false">AJ214+MIN(Z214-AJ214,MAX(0,'Start Here'!$B$10-SUM($AJ214:$AS214)-SUMPRODUCT(($Z$3:$AI$3&lt;Z$3)*($Z214:$AI214-$AJ214:$AS214))))</f>
        <v>0</v>
      </c>
      <c r="G214" s="42" t="n">
        <f aca="false">AK214+MIN(AA214-AK214,MAX(0,'Start Here'!$B$10-SUM($AJ214:$AS214)-SUMPRODUCT(($Z$3:$AI$3&lt;AA$3)*($Z214:$AI214-$AJ214:$AS214))))</f>
        <v>0</v>
      </c>
      <c r="H214" s="42" t="n">
        <f aca="false">AL214+MIN(AB214-AL214,MAX(0,'Start Here'!$B$10-SUM($AJ214:$AS214)-SUMPRODUCT(($Z$3:$AI$3&lt;AB$3)*($Z214:$AI214-$AJ214:$AS214))))</f>
        <v>0</v>
      </c>
      <c r="I214" s="42" t="n">
        <f aca="false">AM214+MIN(AC214-AM214,MAX(0,'Start Here'!$B$10-SUM($AJ214:$AS214)-SUMPRODUCT(($Z$3:$AI$3&lt;AC$3)*($Z214:$AI214-$AJ214:$AS214))))</f>
        <v>0</v>
      </c>
      <c r="J214" s="42" t="n">
        <f aca="false">AN214+MIN(AD214-AN214,MAX(0,'Start Here'!$B$10-SUM($AJ214:$AS214)-SUMPRODUCT(($Z$3:$AI$3&lt;AD$3)*($Z214:$AI214-$AJ214:$AS214))))</f>
        <v>0</v>
      </c>
      <c r="K214" s="42" t="n">
        <f aca="false">AO214+MIN(AE214-AO214,MAX(0,'Start Here'!$B$10-SUM($AJ214:$AS214)-SUMPRODUCT(($Z$3:$AI$3&lt;AE$3)*($Z214:$AI214-$AJ214:$AS214))))</f>
        <v>0</v>
      </c>
      <c r="L214" s="42" t="n">
        <f aca="false">AP214+MIN(AF214-AP214,MAX(0,'Start Here'!$B$10-SUM($AJ214:$AS214)-SUMPRODUCT(($Z$3:$AI$3&lt;AF$3)*($Z214:$AI214-$AJ214:$AS214))))</f>
        <v>0</v>
      </c>
      <c r="M214" s="42" t="n">
        <f aca="false">AQ214+MIN(AG214-AQ214,MAX(0,'Start Here'!$B$10-SUM($AJ214:$AS214)-SUMPRODUCT(($Z$3:$AI$3&lt;AG$3)*($Z214:$AI214-$AJ214:$AS214))))</f>
        <v>0</v>
      </c>
      <c r="N214" s="42" t="n">
        <f aca="false">AR214+MIN(AH214-AR214,MAX(0,'Start Here'!$B$10-SUM($AJ214:$AS214)-SUMPRODUCT(($Z$3:$AI$3&lt;AH$3)*($Z214:$AI214-$AJ214:$AS214))))</f>
        <v>0</v>
      </c>
      <c r="O214" s="42" t="n">
        <f aca="false">AS214+MIN(AI214-AS214,MAX(0,'Start Here'!$B$10-SUM($AJ214:$AS214)-SUMPRODUCT(($Z$3:$AI$3&lt;AI$3)*($Z214:$AI214-$AJ214:$AS214))))</f>
        <v>0</v>
      </c>
      <c r="P214" s="42" t="n">
        <f aca="false">ROUND(Z214-F214,2)</f>
        <v>0</v>
      </c>
      <c r="Q214" s="42" t="n">
        <f aca="false">ROUND(AA214-G214,2)</f>
        <v>0</v>
      </c>
      <c r="R214" s="42" t="n">
        <f aca="false">ROUND(AB214-H214,2)</f>
        <v>0</v>
      </c>
      <c r="S214" s="42" t="n">
        <f aca="false">ROUND(AC214-I214,2)</f>
        <v>0</v>
      </c>
      <c r="T214" s="42" t="n">
        <f aca="false">ROUND(AD214-J214,2)</f>
        <v>0</v>
      </c>
      <c r="U214" s="42" t="n">
        <f aca="false">ROUND(AE214-K214,2)</f>
        <v>0</v>
      </c>
      <c r="V214" s="42" t="n">
        <f aca="false">ROUND(AF214-L214,2)</f>
        <v>0</v>
      </c>
      <c r="W214" s="42" t="n">
        <f aca="false">ROUND(AG214-M214,2)</f>
        <v>0</v>
      </c>
      <c r="X214" s="42" t="n">
        <f aca="false">ROUND(AH214-N214,2)</f>
        <v>0</v>
      </c>
      <c r="Y214" s="42" t="n">
        <f aca="false">ROUND(AI214-O214,2)</f>
        <v>0</v>
      </c>
      <c r="Z214" s="56" t="n">
        <f aca="false">ROUND(P213*(1+N(Debts!$D$5)/12),2)</f>
        <v>0</v>
      </c>
      <c r="AA214" s="56" t="n">
        <f aca="false">ROUND(Q213*(1+N(Debts!$D$6)/12),2)</f>
        <v>0</v>
      </c>
      <c r="AB214" s="56" t="n">
        <f aca="false">ROUND(R213*(1+N(Debts!$D$7)/12),2)</f>
        <v>0</v>
      </c>
      <c r="AC214" s="56" t="n">
        <f aca="false">ROUND(S213*(1+N(Debts!$D$8)/12),2)</f>
        <v>0</v>
      </c>
      <c r="AD214" s="56" t="n">
        <f aca="false">ROUND(T213*(1+N(Debts!$D$9)/12),2)</f>
        <v>0</v>
      </c>
      <c r="AE214" s="56" t="n">
        <f aca="false">ROUND(U213*(1+N(Debts!$D$10)/12),2)</f>
        <v>0</v>
      </c>
      <c r="AF214" s="56" t="n">
        <f aca="false">ROUND(V213*(1+N(Debts!$D$11)/12),2)</f>
        <v>0</v>
      </c>
      <c r="AG214" s="56" t="n">
        <f aca="false">ROUND(W213*(1+N(Debts!$D$12)/12),2)</f>
        <v>0</v>
      </c>
      <c r="AH214" s="56" t="n">
        <f aca="false">ROUND(X213*(1+N(Debts!$D$13)/12),2)</f>
        <v>0</v>
      </c>
      <c r="AI214" s="56" t="n">
        <f aca="false">ROUND(Y213*(1+N(Debts!$D$14)/12),2)</f>
        <v>0</v>
      </c>
      <c r="AJ214" s="56" t="n">
        <f aca="false">MIN(Z214,MAX(0,N(Debts!$E$5)))</f>
        <v>0</v>
      </c>
      <c r="AK214" s="56" t="n">
        <f aca="false">MIN(AA214,MAX(0,N(Debts!$E$6)))</f>
        <v>0</v>
      </c>
      <c r="AL214" s="56" t="n">
        <f aca="false">MIN(AB214,MAX(0,N(Debts!$E$7)))</f>
        <v>0</v>
      </c>
      <c r="AM214" s="56" t="n">
        <f aca="false">MIN(AC214,MAX(0,N(Debts!$E$8)))</f>
        <v>0</v>
      </c>
      <c r="AN214" s="56" t="n">
        <f aca="false">MIN(AD214,MAX(0,N(Debts!$E$9)))</f>
        <v>0</v>
      </c>
      <c r="AO214" s="56" t="n">
        <f aca="false">MIN(AE214,MAX(0,N(Debts!$E$10)))</f>
        <v>0</v>
      </c>
      <c r="AP214" s="56" t="n">
        <f aca="false">MIN(AF214,MAX(0,N(Debts!$E$11)))</f>
        <v>0</v>
      </c>
      <c r="AQ214" s="56" t="n">
        <f aca="false">MIN(AG214,MAX(0,N(Debts!$E$12)))</f>
        <v>0</v>
      </c>
      <c r="AR214" s="56" t="n">
        <f aca="false">MIN(AH214,MAX(0,N(Debts!$E$13)))</f>
        <v>0</v>
      </c>
      <c r="AS214" s="56" t="n">
        <f aca="false">MIN(AI214,MAX(0,N(Debts!$E$14)))</f>
        <v>0</v>
      </c>
    </row>
    <row r="215" customFormat="false" ht="15" hidden="false" customHeight="false" outlineLevel="0" collapsed="false">
      <c r="A215" s="53" t="n">
        <v>211</v>
      </c>
      <c r="B215" s="54" t="n">
        <f aca="false">EDATE('Start Here'!$B$8,210)</f>
        <v>52718</v>
      </c>
      <c r="C215" s="42" t="n">
        <f aca="false">SUM(F215:O215)</f>
        <v>0</v>
      </c>
      <c r="D215" s="42" t="n">
        <f aca="false">ROUND(SUM($Z215:$AI215)-SUM(P214:Y214),2)</f>
        <v>0</v>
      </c>
      <c r="E215" s="55" t="n">
        <f aca="false">SUM(P215:Y215)</f>
        <v>0</v>
      </c>
      <c r="F215" s="42" t="n">
        <f aca="false">AJ215+MIN(Z215-AJ215,MAX(0,'Start Here'!$B$10-SUM($AJ215:$AS215)-SUMPRODUCT(($Z$3:$AI$3&lt;Z$3)*($Z215:$AI215-$AJ215:$AS215))))</f>
        <v>0</v>
      </c>
      <c r="G215" s="42" t="n">
        <f aca="false">AK215+MIN(AA215-AK215,MAX(0,'Start Here'!$B$10-SUM($AJ215:$AS215)-SUMPRODUCT(($Z$3:$AI$3&lt;AA$3)*($Z215:$AI215-$AJ215:$AS215))))</f>
        <v>0</v>
      </c>
      <c r="H215" s="42" t="n">
        <f aca="false">AL215+MIN(AB215-AL215,MAX(0,'Start Here'!$B$10-SUM($AJ215:$AS215)-SUMPRODUCT(($Z$3:$AI$3&lt;AB$3)*($Z215:$AI215-$AJ215:$AS215))))</f>
        <v>0</v>
      </c>
      <c r="I215" s="42" t="n">
        <f aca="false">AM215+MIN(AC215-AM215,MAX(0,'Start Here'!$B$10-SUM($AJ215:$AS215)-SUMPRODUCT(($Z$3:$AI$3&lt;AC$3)*($Z215:$AI215-$AJ215:$AS215))))</f>
        <v>0</v>
      </c>
      <c r="J215" s="42" t="n">
        <f aca="false">AN215+MIN(AD215-AN215,MAX(0,'Start Here'!$B$10-SUM($AJ215:$AS215)-SUMPRODUCT(($Z$3:$AI$3&lt;AD$3)*($Z215:$AI215-$AJ215:$AS215))))</f>
        <v>0</v>
      </c>
      <c r="K215" s="42" t="n">
        <f aca="false">AO215+MIN(AE215-AO215,MAX(0,'Start Here'!$B$10-SUM($AJ215:$AS215)-SUMPRODUCT(($Z$3:$AI$3&lt;AE$3)*($Z215:$AI215-$AJ215:$AS215))))</f>
        <v>0</v>
      </c>
      <c r="L215" s="42" t="n">
        <f aca="false">AP215+MIN(AF215-AP215,MAX(0,'Start Here'!$B$10-SUM($AJ215:$AS215)-SUMPRODUCT(($Z$3:$AI$3&lt;AF$3)*($Z215:$AI215-$AJ215:$AS215))))</f>
        <v>0</v>
      </c>
      <c r="M215" s="42" t="n">
        <f aca="false">AQ215+MIN(AG215-AQ215,MAX(0,'Start Here'!$B$10-SUM($AJ215:$AS215)-SUMPRODUCT(($Z$3:$AI$3&lt;AG$3)*($Z215:$AI215-$AJ215:$AS215))))</f>
        <v>0</v>
      </c>
      <c r="N215" s="42" t="n">
        <f aca="false">AR215+MIN(AH215-AR215,MAX(0,'Start Here'!$B$10-SUM($AJ215:$AS215)-SUMPRODUCT(($Z$3:$AI$3&lt;AH$3)*($Z215:$AI215-$AJ215:$AS215))))</f>
        <v>0</v>
      </c>
      <c r="O215" s="42" t="n">
        <f aca="false">AS215+MIN(AI215-AS215,MAX(0,'Start Here'!$B$10-SUM($AJ215:$AS215)-SUMPRODUCT(($Z$3:$AI$3&lt;AI$3)*($Z215:$AI215-$AJ215:$AS215))))</f>
        <v>0</v>
      </c>
      <c r="P215" s="42" t="n">
        <f aca="false">ROUND(Z215-F215,2)</f>
        <v>0</v>
      </c>
      <c r="Q215" s="42" t="n">
        <f aca="false">ROUND(AA215-G215,2)</f>
        <v>0</v>
      </c>
      <c r="R215" s="42" t="n">
        <f aca="false">ROUND(AB215-H215,2)</f>
        <v>0</v>
      </c>
      <c r="S215" s="42" t="n">
        <f aca="false">ROUND(AC215-I215,2)</f>
        <v>0</v>
      </c>
      <c r="T215" s="42" t="n">
        <f aca="false">ROUND(AD215-J215,2)</f>
        <v>0</v>
      </c>
      <c r="U215" s="42" t="n">
        <f aca="false">ROUND(AE215-K215,2)</f>
        <v>0</v>
      </c>
      <c r="V215" s="42" t="n">
        <f aca="false">ROUND(AF215-L215,2)</f>
        <v>0</v>
      </c>
      <c r="W215" s="42" t="n">
        <f aca="false">ROUND(AG215-M215,2)</f>
        <v>0</v>
      </c>
      <c r="X215" s="42" t="n">
        <f aca="false">ROUND(AH215-N215,2)</f>
        <v>0</v>
      </c>
      <c r="Y215" s="42" t="n">
        <f aca="false">ROUND(AI215-O215,2)</f>
        <v>0</v>
      </c>
      <c r="Z215" s="56" t="n">
        <f aca="false">ROUND(P214*(1+N(Debts!$D$5)/12),2)</f>
        <v>0</v>
      </c>
      <c r="AA215" s="56" t="n">
        <f aca="false">ROUND(Q214*(1+N(Debts!$D$6)/12),2)</f>
        <v>0</v>
      </c>
      <c r="AB215" s="56" t="n">
        <f aca="false">ROUND(R214*(1+N(Debts!$D$7)/12),2)</f>
        <v>0</v>
      </c>
      <c r="AC215" s="56" t="n">
        <f aca="false">ROUND(S214*(1+N(Debts!$D$8)/12),2)</f>
        <v>0</v>
      </c>
      <c r="AD215" s="56" t="n">
        <f aca="false">ROUND(T214*(1+N(Debts!$D$9)/12),2)</f>
        <v>0</v>
      </c>
      <c r="AE215" s="56" t="n">
        <f aca="false">ROUND(U214*(1+N(Debts!$D$10)/12),2)</f>
        <v>0</v>
      </c>
      <c r="AF215" s="56" t="n">
        <f aca="false">ROUND(V214*(1+N(Debts!$D$11)/12),2)</f>
        <v>0</v>
      </c>
      <c r="AG215" s="56" t="n">
        <f aca="false">ROUND(W214*(1+N(Debts!$D$12)/12),2)</f>
        <v>0</v>
      </c>
      <c r="AH215" s="56" t="n">
        <f aca="false">ROUND(X214*(1+N(Debts!$D$13)/12),2)</f>
        <v>0</v>
      </c>
      <c r="AI215" s="56" t="n">
        <f aca="false">ROUND(Y214*(1+N(Debts!$D$14)/12),2)</f>
        <v>0</v>
      </c>
      <c r="AJ215" s="56" t="n">
        <f aca="false">MIN(Z215,MAX(0,N(Debts!$E$5)))</f>
        <v>0</v>
      </c>
      <c r="AK215" s="56" t="n">
        <f aca="false">MIN(AA215,MAX(0,N(Debts!$E$6)))</f>
        <v>0</v>
      </c>
      <c r="AL215" s="56" t="n">
        <f aca="false">MIN(AB215,MAX(0,N(Debts!$E$7)))</f>
        <v>0</v>
      </c>
      <c r="AM215" s="56" t="n">
        <f aca="false">MIN(AC215,MAX(0,N(Debts!$E$8)))</f>
        <v>0</v>
      </c>
      <c r="AN215" s="56" t="n">
        <f aca="false">MIN(AD215,MAX(0,N(Debts!$E$9)))</f>
        <v>0</v>
      </c>
      <c r="AO215" s="56" t="n">
        <f aca="false">MIN(AE215,MAX(0,N(Debts!$E$10)))</f>
        <v>0</v>
      </c>
      <c r="AP215" s="56" t="n">
        <f aca="false">MIN(AF215,MAX(0,N(Debts!$E$11)))</f>
        <v>0</v>
      </c>
      <c r="AQ215" s="56" t="n">
        <f aca="false">MIN(AG215,MAX(0,N(Debts!$E$12)))</f>
        <v>0</v>
      </c>
      <c r="AR215" s="56" t="n">
        <f aca="false">MIN(AH215,MAX(0,N(Debts!$E$13)))</f>
        <v>0</v>
      </c>
      <c r="AS215" s="56" t="n">
        <f aca="false">MIN(AI215,MAX(0,N(Debts!$E$14)))</f>
        <v>0</v>
      </c>
    </row>
    <row r="216" customFormat="false" ht="15" hidden="false" customHeight="false" outlineLevel="0" collapsed="false">
      <c r="A216" s="53" t="n">
        <v>212</v>
      </c>
      <c r="B216" s="54" t="n">
        <f aca="false">EDATE('Start Here'!$B$8,211)</f>
        <v>52749</v>
      </c>
      <c r="C216" s="42" t="n">
        <f aca="false">SUM(F216:O216)</f>
        <v>0</v>
      </c>
      <c r="D216" s="42" t="n">
        <f aca="false">ROUND(SUM($Z216:$AI216)-SUM(P215:Y215),2)</f>
        <v>0</v>
      </c>
      <c r="E216" s="55" t="n">
        <f aca="false">SUM(P216:Y216)</f>
        <v>0</v>
      </c>
      <c r="F216" s="42" t="n">
        <f aca="false">AJ216+MIN(Z216-AJ216,MAX(0,'Start Here'!$B$10-SUM($AJ216:$AS216)-SUMPRODUCT(($Z$3:$AI$3&lt;Z$3)*($Z216:$AI216-$AJ216:$AS216))))</f>
        <v>0</v>
      </c>
      <c r="G216" s="42" t="n">
        <f aca="false">AK216+MIN(AA216-AK216,MAX(0,'Start Here'!$B$10-SUM($AJ216:$AS216)-SUMPRODUCT(($Z$3:$AI$3&lt;AA$3)*($Z216:$AI216-$AJ216:$AS216))))</f>
        <v>0</v>
      </c>
      <c r="H216" s="42" t="n">
        <f aca="false">AL216+MIN(AB216-AL216,MAX(0,'Start Here'!$B$10-SUM($AJ216:$AS216)-SUMPRODUCT(($Z$3:$AI$3&lt;AB$3)*($Z216:$AI216-$AJ216:$AS216))))</f>
        <v>0</v>
      </c>
      <c r="I216" s="42" t="n">
        <f aca="false">AM216+MIN(AC216-AM216,MAX(0,'Start Here'!$B$10-SUM($AJ216:$AS216)-SUMPRODUCT(($Z$3:$AI$3&lt;AC$3)*($Z216:$AI216-$AJ216:$AS216))))</f>
        <v>0</v>
      </c>
      <c r="J216" s="42" t="n">
        <f aca="false">AN216+MIN(AD216-AN216,MAX(0,'Start Here'!$B$10-SUM($AJ216:$AS216)-SUMPRODUCT(($Z$3:$AI$3&lt;AD$3)*($Z216:$AI216-$AJ216:$AS216))))</f>
        <v>0</v>
      </c>
      <c r="K216" s="42" t="n">
        <f aca="false">AO216+MIN(AE216-AO216,MAX(0,'Start Here'!$B$10-SUM($AJ216:$AS216)-SUMPRODUCT(($Z$3:$AI$3&lt;AE$3)*($Z216:$AI216-$AJ216:$AS216))))</f>
        <v>0</v>
      </c>
      <c r="L216" s="42" t="n">
        <f aca="false">AP216+MIN(AF216-AP216,MAX(0,'Start Here'!$B$10-SUM($AJ216:$AS216)-SUMPRODUCT(($Z$3:$AI$3&lt;AF$3)*($Z216:$AI216-$AJ216:$AS216))))</f>
        <v>0</v>
      </c>
      <c r="M216" s="42" t="n">
        <f aca="false">AQ216+MIN(AG216-AQ216,MAX(0,'Start Here'!$B$10-SUM($AJ216:$AS216)-SUMPRODUCT(($Z$3:$AI$3&lt;AG$3)*($Z216:$AI216-$AJ216:$AS216))))</f>
        <v>0</v>
      </c>
      <c r="N216" s="42" t="n">
        <f aca="false">AR216+MIN(AH216-AR216,MAX(0,'Start Here'!$B$10-SUM($AJ216:$AS216)-SUMPRODUCT(($Z$3:$AI$3&lt;AH$3)*($Z216:$AI216-$AJ216:$AS216))))</f>
        <v>0</v>
      </c>
      <c r="O216" s="42" t="n">
        <f aca="false">AS216+MIN(AI216-AS216,MAX(0,'Start Here'!$B$10-SUM($AJ216:$AS216)-SUMPRODUCT(($Z$3:$AI$3&lt;AI$3)*($Z216:$AI216-$AJ216:$AS216))))</f>
        <v>0</v>
      </c>
      <c r="P216" s="42" t="n">
        <f aca="false">ROUND(Z216-F216,2)</f>
        <v>0</v>
      </c>
      <c r="Q216" s="42" t="n">
        <f aca="false">ROUND(AA216-G216,2)</f>
        <v>0</v>
      </c>
      <c r="R216" s="42" t="n">
        <f aca="false">ROUND(AB216-H216,2)</f>
        <v>0</v>
      </c>
      <c r="S216" s="42" t="n">
        <f aca="false">ROUND(AC216-I216,2)</f>
        <v>0</v>
      </c>
      <c r="T216" s="42" t="n">
        <f aca="false">ROUND(AD216-J216,2)</f>
        <v>0</v>
      </c>
      <c r="U216" s="42" t="n">
        <f aca="false">ROUND(AE216-K216,2)</f>
        <v>0</v>
      </c>
      <c r="V216" s="42" t="n">
        <f aca="false">ROUND(AF216-L216,2)</f>
        <v>0</v>
      </c>
      <c r="W216" s="42" t="n">
        <f aca="false">ROUND(AG216-M216,2)</f>
        <v>0</v>
      </c>
      <c r="X216" s="42" t="n">
        <f aca="false">ROUND(AH216-N216,2)</f>
        <v>0</v>
      </c>
      <c r="Y216" s="42" t="n">
        <f aca="false">ROUND(AI216-O216,2)</f>
        <v>0</v>
      </c>
      <c r="Z216" s="56" t="n">
        <f aca="false">ROUND(P215*(1+N(Debts!$D$5)/12),2)</f>
        <v>0</v>
      </c>
      <c r="AA216" s="56" t="n">
        <f aca="false">ROUND(Q215*(1+N(Debts!$D$6)/12),2)</f>
        <v>0</v>
      </c>
      <c r="AB216" s="56" t="n">
        <f aca="false">ROUND(R215*(1+N(Debts!$D$7)/12),2)</f>
        <v>0</v>
      </c>
      <c r="AC216" s="56" t="n">
        <f aca="false">ROUND(S215*(1+N(Debts!$D$8)/12),2)</f>
        <v>0</v>
      </c>
      <c r="AD216" s="56" t="n">
        <f aca="false">ROUND(T215*(1+N(Debts!$D$9)/12),2)</f>
        <v>0</v>
      </c>
      <c r="AE216" s="56" t="n">
        <f aca="false">ROUND(U215*(1+N(Debts!$D$10)/12),2)</f>
        <v>0</v>
      </c>
      <c r="AF216" s="56" t="n">
        <f aca="false">ROUND(V215*(1+N(Debts!$D$11)/12),2)</f>
        <v>0</v>
      </c>
      <c r="AG216" s="56" t="n">
        <f aca="false">ROUND(W215*(1+N(Debts!$D$12)/12),2)</f>
        <v>0</v>
      </c>
      <c r="AH216" s="56" t="n">
        <f aca="false">ROUND(X215*(1+N(Debts!$D$13)/12),2)</f>
        <v>0</v>
      </c>
      <c r="AI216" s="56" t="n">
        <f aca="false">ROUND(Y215*(1+N(Debts!$D$14)/12),2)</f>
        <v>0</v>
      </c>
      <c r="AJ216" s="56" t="n">
        <f aca="false">MIN(Z216,MAX(0,N(Debts!$E$5)))</f>
        <v>0</v>
      </c>
      <c r="AK216" s="56" t="n">
        <f aca="false">MIN(AA216,MAX(0,N(Debts!$E$6)))</f>
        <v>0</v>
      </c>
      <c r="AL216" s="56" t="n">
        <f aca="false">MIN(AB216,MAX(0,N(Debts!$E$7)))</f>
        <v>0</v>
      </c>
      <c r="AM216" s="56" t="n">
        <f aca="false">MIN(AC216,MAX(0,N(Debts!$E$8)))</f>
        <v>0</v>
      </c>
      <c r="AN216" s="56" t="n">
        <f aca="false">MIN(AD216,MAX(0,N(Debts!$E$9)))</f>
        <v>0</v>
      </c>
      <c r="AO216" s="56" t="n">
        <f aca="false">MIN(AE216,MAX(0,N(Debts!$E$10)))</f>
        <v>0</v>
      </c>
      <c r="AP216" s="56" t="n">
        <f aca="false">MIN(AF216,MAX(0,N(Debts!$E$11)))</f>
        <v>0</v>
      </c>
      <c r="AQ216" s="56" t="n">
        <f aca="false">MIN(AG216,MAX(0,N(Debts!$E$12)))</f>
        <v>0</v>
      </c>
      <c r="AR216" s="56" t="n">
        <f aca="false">MIN(AH216,MAX(0,N(Debts!$E$13)))</f>
        <v>0</v>
      </c>
      <c r="AS216" s="56" t="n">
        <f aca="false">MIN(AI216,MAX(0,N(Debts!$E$14)))</f>
        <v>0</v>
      </c>
    </row>
    <row r="217" customFormat="false" ht="15" hidden="false" customHeight="false" outlineLevel="0" collapsed="false">
      <c r="A217" s="53" t="n">
        <v>213</v>
      </c>
      <c r="B217" s="54" t="n">
        <f aca="false">EDATE('Start Here'!$B$8,212)</f>
        <v>52779</v>
      </c>
      <c r="C217" s="42" t="n">
        <f aca="false">SUM(F217:O217)</f>
        <v>0</v>
      </c>
      <c r="D217" s="42" t="n">
        <f aca="false">ROUND(SUM($Z217:$AI217)-SUM(P216:Y216),2)</f>
        <v>0</v>
      </c>
      <c r="E217" s="55" t="n">
        <f aca="false">SUM(P217:Y217)</f>
        <v>0</v>
      </c>
      <c r="F217" s="42" t="n">
        <f aca="false">AJ217+MIN(Z217-AJ217,MAX(0,'Start Here'!$B$10-SUM($AJ217:$AS217)-SUMPRODUCT(($Z$3:$AI$3&lt;Z$3)*($Z217:$AI217-$AJ217:$AS217))))</f>
        <v>0</v>
      </c>
      <c r="G217" s="42" t="n">
        <f aca="false">AK217+MIN(AA217-AK217,MAX(0,'Start Here'!$B$10-SUM($AJ217:$AS217)-SUMPRODUCT(($Z$3:$AI$3&lt;AA$3)*($Z217:$AI217-$AJ217:$AS217))))</f>
        <v>0</v>
      </c>
      <c r="H217" s="42" t="n">
        <f aca="false">AL217+MIN(AB217-AL217,MAX(0,'Start Here'!$B$10-SUM($AJ217:$AS217)-SUMPRODUCT(($Z$3:$AI$3&lt;AB$3)*($Z217:$AI217-$AJ217:$AS217))))</f>
        <v>0</v>
      </c>
      <c r="I217" s="42" t="n">
        <f aca="false">AM217+MIN(AC217-AM217,MAX(0,'Start Here'!$B$10-SUM($AJ217:$AS217)-SUMPRODUCT(($Z$3:$AI$3&lt;AC$3)*($Z217:$AI217-$AJ217:$AS217))))</f>
        <v>0</v>
      </c>
      <c r="J217" s="42" t="n">
        <f aca="false">AN217+MIN(AD217-AN217,MAX(0,'Start Here'!$B$10-SUM($AJ217:$AS217)-SUMPRODUCT(($Z$3:$AI$3&lt;AD$3)*($Z217:$AI217-$AJ217:$AS217))))</f>
        <v>0</v>
      </c>
      <c r="K217" s="42" t="n">
        <f aca="false">AO217+MIN(AE217-AO217,MAX(0,'Start Here'!$B$10-SUM($AJ217:$AS217)-SUMPRODUCT(($Z$3:$AI$3&lt;AE$3)*($Z217:$AI217-$AJ217:$AS217))))</f>
        <v>0</v>
      </c>
      <c r="L217" s="42" t="n">
        <f aca="false">AP217+MIN(AF217-AP217,MAX(0,'Start Here'!$B$10-SUM($AJ217:$AS217)-SUMPRODUCT(($Z$3:$AI$3&lt;AF$3)*($Z217:$AI217-$AJ217:$AS217))))</f>
        <v>0</v>
      </c>
      <c r="M217" s="42" t="n">
        <f aca="false">AQ217+MIN(AG217-AQ217,MAX(0,'Start Here'!$B$10-SUM($AJ217:$AS217)-SUMPRODUCT(($Z$3:$AI$3&lt;AG$3)*($Z217:$AI217-$AJ217:$AS217))))</f>
        <v>0</v>
      </c>
      <c r="N217" s="42" t="n">
        <f aca="false">AR217+MIN(AH217-AR217,MAX(0,'Start Here'!$B$10-SUM($AJ217:$AS217)-SUMPRODUCT(($Z$3:$AI$3&lt;AH$3)*($Z217:$AI217-$AJ217:$AS217))))</f>
        <v>0</v>
      </c>
      <c r="O217" s="42" t="n">
        <f aca="false">AS217+MIN(AI217-AS217,MAX(0,'Start Here'!$B$10-SUM($AJ217:$AS217)-SUMPRODUCT(($Z$3:$AI$3&lt;AI$3)*($Z217:$AI217-$AJ217:$AS217))))</f>
        <v>0</v>
      </c>
      <c r="P217" s="42" t="n">
        <f aca="false">ROUND(Z217-F217,2)</f>
        <v>0</v>
      </c>
      <c r="Q217" s="42" t="n">
        <f aca="false">ROUND(AA217-G217,2)</f>
        <v>0</v>
      </c>
      <c r="R217" s="42" t="n">
        <f aca="false">ROUND(AB217-H217,2)</f>
        <v>0</v>
      </c>
      <c r="S217" s="42" t="n">
        <f aca="false">ROUND(AC217-I217,2)</f>
        <v>0</v>
      </c>
      <c r="T217" s="42" t="n">
        <f aca="false">ROUND(AD217-J217,2)</f>
        <v>0</v>
      </c>
      <c r="U217" s="42" t="n">
        <f aca="false">ROUND(AE217-K217,2)</f>
        <v>0</v>
      </c>
      <c r="V217" s="42" t="n">
        <f aca="false">ROUND(AF217-L217,2)</f>
        <v>0</v>
      </c>
      <c r="W217" s="42" t="n">
        <f aca="false">ROUND(AG217-M217,2)</f>
        <v>0</v>
      </c>
      <c r="X217" s="42" t="n">
        <f aca="false">ROUND(AH217-N217,2)</f>
        <v>0</v>
      </c>
      <c r="Y217" s="42" t="n">
        <f aca="false">ROUND(AI217-O217,2)</f>
        <v>0</v>
      </c>
      <c r="Z217" s="56" t="n">
        <f aca="false">ROUND(P216*(1+N(Debts!$D$5)/12),2)</f>
        <v>0</v>
      </c>
      <c r="AA217" s="56" t="n">
        <f aca="false">ROUND(Q216*(1+N(Debts!$D$6)/12),2)</f>
        <v>0</v>
      </c>
      <c r="AB217" s="56" t="n">
        <f aca="false">ROUND(R216*(1+N(Debts!$D$7)/12),2)</f>
        <v>0</v>
      </c>
      <c r="AC217" s="56" t="n">
        <f aca="false">ROUND(S216*(1+N(Debts!$D$8)/12),2)</f>
        <v>0</v>
      </c>
      <c r="AD217" s="56" t="n">
        <f aca="false">ROUND(T216*(1+N(Debts!$D$9)/12),2)</f>
        <v>0</v>
      </c>
      <c r="AE217" s="56" t="n">
        <f aca="false">ROUND(U216*(1+N(Debts!$D$10)/12),2)</f>
        <v>0</v>
      </c>
      <c r="AF217" s="56" t="n">
        <f aca="false">ROUND(V216*(1+N(Debts!$D$11)/12),2)</f>
        <v>0</v>
      </c>
      <c r="AG217" s="56" t="n">
        <f aca="false">ROUND(W216*(1+N(Debts!$D$12)/12),2)</f>
        <v>0</v>
      </c>
      <c r="AH217" s="56" t="n">
        <f aca="false">ROUND(X216*(1+N(Debts!$D$13)/12),2)</f>
        <v>0</v>
      </c>
      <c r="AI217" s="56" t="n">
        <f aca="false">ROUND(Y216*(1+N(Debts!$D$14)/12),2)</f>
        <v>0</v>
      </c>
      <c r="AJ217" s="56" t="n">
        <f aca="false">MIN(Z217,MAX(0,N(Debts!$E$5)))</f>
        <v>0</v>
      </c>
      <c r="AK217" s="56" t="n">
        <f aca="false">MIN(AA217,MAX(0,N(Debts!$E$6)))</f>
        <v>0</v>
      </c>
      <c r="AL217" s="56" t="n">
        <f aca="false">MIN(AB217,MAX(0,N(Debts!$E$7)))</f>
        <v>0</v>
      </c>
      <c r="AM217" s="56" t="n">
        <f aca="false">MIN(AC217,MAX(0,N(Debts!$E$8)))</f>
        <v>0</v>
      </c>
      <c r="AN217" s="56" t="n">
        <f aca="false">MIN(AD217,MAX(0,N(Debts!$E$9)))</f>
        <v>0</v>
      </c>
      <c r="AO217" s="56" t="n">
        <f aca="false">MIN(AE217,MAX(0,N(Debts!$E$10)))</f>
        <v>0</v>
      </c>
      <c r="AP217" s="56" t="n">
        <f aca="false">MIN(AF217,MAX(0,N(Debts!$E$11)))</f>
        <v>0</v>
      </c>
      <c r="AQ217" s="56" t="n">
        <f aca="false">MIN(AG217,MAX(0,N(Debts!$E$12)))</f>
        <v>0</v>
      </c>
      <c r="AR217" s="56" t="n">
        <f aca="false">MIN(AH217,MAX(0,N(Debts!$E$13)))</f>
        <v>0</v>
      </c>
      <c r="AS217" s="56" t="n">
        <f aca="false">MIN(AI217,MAX(0,N(Debts!$E$14)))</f>
        <v>0</v>
      </c>
    </row>
    <row r="218" customFormat="false" ht="15" hidden="false" customHeight="false" outlineLevel="0" collapsed="false">
      <c r="A218" s="53" t="n">
        <v>214</v>
      </c>
      <c r="B218" s="54" t="n">
        <f aca="false">EDATE('Start Here'!$B$8,213)</f>
        <v>52810</v>
      </c>
      <c r="C218" s="42" t="n">
        <f aca="false">SUM(F218:O218)</f>
        <v>0</v>
      </c>
      <c r="D218" s="42" t="n">
        <f aca="false">ROUND(SUM($Z218:$AI218)-SUM(P217:Y217),2)</f>
        <v>0</v>
      </c>
      <c r="E218" s="55" t="n">
        <f aca="false">SUM(P218:Y218)</f>
        <v>0</v>
      </c>
      <c r="F218" s="42" t="n">
        <f aca="false">AJ218+MIN(Z218-AJ218,MAX(0,'Start Here'!$B$10-SUM($AJ218:$AS218)-SUMPRODUCT(($Z$3:$AI$3&lt;Z$3)*($Z218:$AI218-$AJ218:$AS218))))</f>
        <v>0</v>
      </c>
      <c r="G218" s="42" t="n">
        <f aca="false">AK218+MIN(AA218-AK218,MAX(0,'Start Here'!$B$10-SUM($AJ218:$AS218)-SUMPRODUCT(($Z$3:$AI$3&lt;AA$3)*($Z218:$AI218-$AJ218:$AS218))))</f>
        <v>0</v>
      </c>
      <c r="H218" s="42" t="n">
        <f aca="false">AL218+MIN(AB218-AL218,MAX(0,'Start Here'!$B$10-SUM($AJ218:$AS218)-SUMPRODUCT(($Z$3:$AI$3&lt;AB$3)*($Z218:$AI218-$AJ218:$AS218))))</f>
        <v>0</v>
      </c>
      <c r="I218" s="42" t="n">
        <f aca="false">AM218+MIN(AC218-AM218,MAX(0,'Start Here'!$B$10-SUM($AJ218:$AS218)-SUMPRODUCT(($Z$3:$AI$3&lt;AC$3)*($Z218:$AI218-$AJ218:$AS218))))</f>
        <v>0</v>
      </c>
      <c r="J218" s="42" t="n">
        <f aca="false">AN218+MIN(AD218-AN218,MAX(0,'Start Here'!$B$10-SUM($AJ218:$AS218)-SUMPRODUCT(($Z$3:$AI$3&lt;AD$3)*($Z218:$AI218-$AJ218:$AS218))))</f>
        <v>0</v>
      </c>
      <c r="K218" s="42" t="n">
        <f aca="false">AO218+MIN(AE218-AO218,MAX(0,'Start Here'!$B$10-SUM($AJ218:$AS218)-SUMPRODUCT(($Z$3:$AI$3&lt;AE$3)*($Z218:$AI218-$AJ218:$AS218))))</f>
        <v>0</v>
      </c>
      <c r="L218" s="42" t="n">
        <f aca="false">AP218+MIN(AF218-AP218,MAX(0,'Start Here'!$B$10-SUM($AJ218:$AS218)-SUMPRODUCT(($Z$3:$AI$3&lt;AF$3)*($Z218:$AI218-$AJ218:$AS218))))</f>
        <v>0</v>
      </c>
      <c r="M218" s="42" t="n">
        <f aca="false">AQ218+MIN(AG218-AQ218,MAX(0,'Start Here'!$B$10-SUM($AJ218:$AS218)-SUMPRODUCT(($Z$3:$AI$3&lt;AG$3)*($Z218:$AI218-$AJ218:$AS218))))</f>
        <v>0</v>
      </c>
      <c r="N218" s="42" t="n">
        <f aca="false">AR218+MIN(AH218-AR218,MAX(0,'Start Here'!$B$10-SUM($AJ218:$AS218)-SUMPRODUCT(($Z$3:$AI$3&lt;AH$3)*($Z218:$AI218-$AJ218:$AS218))))</f>
        <v>0</v>
      </c>
      <c r="O218" s="42" t="n">
        <f aca="false">AS218+MIN(AI218-AS218,MAX(0,'Start Here'!$B$10-SUM($AJ218:$AS218)-SUMPRODUCT(($Z$3:$AI$3&lt;AI$3)*($Z218:$AI218-$AJ218:$AS218))))</f>
        <v>0</v>
      </c>
      <c r="P218" s="42" t="n">
        <f aca="false">ROUND(Z218-F218,2)</f>
        <v>0</v>
      </c>
      <c r="Q218" s="42" t="n">
        <f aca="false">ROUND(AA218-G218,2)</f>
        <v>0</v>
      </c>
      <c r="R218" s="42" t="n">
        <f aca="false">ROUND(AB218-H218,2)</f>
        <v>0</v>
      </c>
      <c r="S218" s="42" t="n">
        <f aca="false">ROUND(AC218-I218,2)</f>
        <v>0</v>
      </c>
      <c r="T218" s="42" t="n">
        <f aca="false">ROUND(AD218-J218,2)</f>
        <v>0</v>
      </c>
      <c r="U218" s="42" t="n">
        <f aca="false">ROUND(AE218-K218,2)</f>
        <v>0</v>
      </c>
      <c r="V218" s="42" t="n">
        <f aca="false">ROUND(AF218-L218,2)</f>
        <v>0</v>
      </c>
      <c r="W218" s="42" t="n">
        <f aca="false">ROUND(AG218-M218,2)</f>
        <v>0</v>
      </c>
      <c r="X218" s="42" t="n">
        <f aca="false">ROUND(AH218-N218,2)</f>
        <v>0</v>
      </c>
      <c r="Y218" s="42" t="n">
        <f aca="false">ROUND(AI218-O218,2)</f>
        <v>0</v>
      </c>
      <c r="Z218" s="56" t="n">
        <f aca="false">ROUND(P217*(1+N(Debts!$D$5)/12),2)</f>
        <v>0</v>
      </c>
      <c r="AA218" s="56" t="n">
        <f aca="false">ROUND(Q217*(1+N(Debts!$D$6)/12),2)</f>
        <v>0</v>
      </c>
      <c r="AB218" s="56" t="n">
        <f aca="false">ROUND(R217*(1+N(Debts!$D$7)/12),2)</f>
        <v>0</v>
      </c>
      <c r="AC218" s="56" t="n">
        <f aca="false">ROUND(S217*(1+N(Debts!$D$8)/12),2)</f>
        <v>0</v>
      </c>
      <c r="AD218" s="56" t="n">
        <f aca="false">ROUND(T217*(1+N(Debts!$D$9)/12),2)</f>
        <v>0</v>
      </c>
      <c r="AE218" s="56" t="n">
        <f aca="false">ROUND(U217*(1+N(Debts!$D$10)/12),2)</f>
        <v>0</v>
      </c>
      <c r="AF218" s="56" t="n">
        <f aca="false">ROUND(V217*(1+N(Debts!$D$11)/12),2)</f>
        <v>0</v>
      </c>
      <c r="AG218" s="56" t="n">
        <f aca="false">ROUND(W217*(1+N(Debts!$D$12)/12),2)</f>
        <v>0</v>
      </c>
      <c r="AH218" s="56" t="n">
        <f aca="false">ROUND(X217*(1+N(Debts!$D$13)/12),2)</f>
        <v>0</v>
      </c>
      <c r="AI218" s="56" t="n">
        <f aca="false">ROUND(Y217*(1+N(Debts!$D$14)/12),2)</f>
        <v>0</v>
      </c>
      <c r="AJ218" s="56" t="n">
        <f aca="false">MIN(Z218,MAX(0,N(Debts!$E$5)))</f>
        <v>0</v>
      </c>
      <c r="AK218" s="56" t="n">
        <f aca="false">MIN(AA218,MAX(0,N(Debts!$E$6)))</f>
        <v>0</v>
      </c>
      <c r="AL218" s="56" t="n">
        <f aca="false">MIN(AB218,MAX(0,N(Debts!$E$7)))</f>
        <v>0</v>
      </c>
      <c r="AM218" s="56" t="n">
        <f aca="false">MIN(AC218,MAX(0,N(Debts!$E$8)))</f>
        <v>0</v>
      </c>
      <c r="AN218" s="56" t="n">
        <f aca="false">MIN(AD218,MAX(0,N(Debts!$E$9)))</f>
        <v>0</v>
      </c>
      <c r="AO218" s="56" t="n">
        <f aca="false">MIN(AE218,MAX(0,N(Debts!$E$10)))</f>
        <v>0</v>
      </c>
      <c r="AP218" s="56" t="n">
        <f aca="false">MIN(AF218,MAX(0,N(Debts!$E$11)))</f>
        <v>0</v>
      </c>
      <c r="AQ218" s="56" t="n">
        <f aca="false">MIN(AG218,MAX(0,N(Debts!$E$12)))</f>
        <v>0</v>
      </c>
      <c r="AR218" s="56" t="n">
        <f aca="false">MIN(AH218,MAX(0,N(Debts!$E$13)))</f>
        <v>0</v>
      </c>
      <c r="AS218" s="56" t="n">
        <f aca="false">MIN(AI218,MAX(0,N(Debts!$E$14)))</f>
        <v>0</v>
      </c>
    </row>
    <row r="219" customFormat="false" ht="15" hidden="false" customHeight="false" outlineLevel="0" collapsed="false">
      <c r="A219" s="53" t="n">
        <v>215</v>
      </c>
      <c r="B219" s="54" t="n">
        <f aca="false">EDATE('Start Here'!$B$8,214)</f>
        <v>52841</v>
      </c>
      <c r="C219" s="42" t="n">
        <f aca="false">SUM(F219:O219)</f>
        <v>0</v>
      </c>
      <c r="D219" s="42" t="n">
        <f aca="false">ROUND(SUM($Z219:$AI219)-SUM(P218:Y218),2)</f>
        <v>0</v>
      </c>
      <c r="E219" s="55" t="n">
        <f aca="false">SUM(P219:Y219)</f>
        <v>0</v>
      </c>
      <c r="F219" s="42" t="n">
        <f aca="false">AJ219+MIN(Z219-AJ219,MAX(0,'Start Here'!$B$10-SUM($AJ219:$AS219)-SUMPRODUCT(($Z$3:$AI$3&lt;Z$3)*($Z219:$AI219-$AJ219:$AS219))))</f>
        <v>0</v>
      </c>
      <c r="G219" s="42" t="n">
        <f aca="false">AK219+MIN(AA219-AK219,MAX(0,'Start Here'!$B$10-SUM($AJ219:$AS219)-SUMPRODUCT(($Z$3:$AI$3&lt;AA$3)*($Z219:$AI219-$AJ219:$AS219))))</f>
        <v>0</v>
      </c>
      <c r="H219" s="42" t="n">
        <f aca="false">AL219+MIN(AB219-AL219,MAX(0,'Start Here'!$B$10-SUM($AJ219:$AS219)-SUMPRODUCT(($Z$3:$AI$3&lt;AB$3)*($Z219:$AI219-$AJ219:$AS219))))</f>
        <v>0</v>
      </c>
      <c r="I219" s="42" t="n">
        <f aca="false">AM219+MIN(AC219-AM219,MAX(0,'Start Here'!$B$10-SUM($AJ219:$AS219)-SUMPRODUCT(($Z$3:$AI$3&lt;AC$3)*($Z219:$AI219-$AJ219:$AS219))))</f>
        <v>0</v>
      </c>
      <c r="J219" s="42" t="n">
        <f aca="false">AN219+MIN(AD219-AN219,MAX(0,'Start Here'!$B$10-SUM($AJ219:$AS219)-SUMPRODUCT(($Z$3:$AI$3&lt;AD$3)*($Z219:$AI219-$AJ219:$AS219))))</f>
        <v>0</v>
      </c>
      <c r="K219" s="42" t="n">
        <f aca="false">AO219+MIN(AE219-AO219,MAX(0,'Start Here'!$B$10-SUM($AJ219:$AS219)-SUMPRODUCT(($Z$3:$AI$3&lt;AE$3)*($Z219:$AI219-$AJ219:$AS219))))</f>
        <v>0</v>
      </c>
      <c r="L219" s="42" t="n">
        <f aca="false">AP219+MIN(AF219-AP219,MAX(0,'Start Here'!$B$10-SUM($AJ219:$AS219)-SUMPRODUCT(($Z$3:$AI$3&lt;AF$3)*($Z219:$AI219-$AJ219:$AS219))))</f>
        <v>0</v>
      </c>
      <c r="M219" s="42" t="n">
        <f aca="false">AQ219+MIN(AG219-AQ219,MAX(0,'Start Here'!$B$10-SUM($AJ219:$AS219)-SUMPRODUCT(($Z$3:$AI$3&lt;AG$3)*($Z219:$AI219-$AJ219:$AS219))))</f>
        <v>0</v>
      </c>
      <c r="N219" s="42" t="n">
        <f aca="false">AR219+MIN(AH219-AR219,MAX(0,'Start Here'!$B$10-SUM($AJ219:$AS219)-SUMPRODUCT(($Z$3:$AI$3&lt;AH$3)*($Z219:$AI219-$AJ219:$AS219))))</f>
        <v>0</v>
      </c>
      <c r="O219" s="42" t="n">
        <f aca="false">AS219+MIN(AI219-AS219,MAX(0,'Start Here'!$B$10-SUM($AJ219:$AS219)-SUMPRODUCT(($Z$3:$AI$3&lt;AI$3)*($Z219:$AI219-$AJ219:$AS219))))</f>
        <v>0</v>
      </c>
      <c r="P219" s="42" t="n">
        <f aca="false">ROUND(Z219-F219,2)</f>
        <v>0</v>
      </c>
      <c r="Q219" s="42" t="n">
        <f aca="false">ROUND(AA219-G219,2)</f>
        <v>0</v>
      </c>
      <c r="R219" s="42" t="n">
        <f aca="false">ROUND(AB219-H219,2)</f>
        <v>0</v>
      </c>
      <c r="S219" s="42" t="n">
        <f aca="false">ROUND(AC219-I219,2)</f>
        <v>0</v>
      </c>
      <c r="T219" s="42" t="n">
        <f aca="false">ROUND(AD219-J219,2)</f>
        <v>0</v>
      </c>
      <c r="U219" s="42" t="n">
        <f aca="false">ROUND(AE219-K219,2)</f>
        <v>0</v>
      </c>
      <c r="V219" s="42" t="n">
        <f aca="false">ROUND(AF219-L219,2)</f>
        <v>0</v>
      </c>
      <c r="W219" s="42" t="n">
        <f aca="false">ROUND(AG219-M219,2)</f>
        <v>0</v>
      </c>
      <c r="X219" s="42" t="n">
        <f aca="false">ROUND(AH219-N219,2)</f>
        <v>0</v>
      </c>
      <c r="Y219" s="42" t="n">
        <f aca="false">ROUND(AI219-O219,2)</f>
        <v>0</v>
      </c>
      <c r="Z219" s="56" t="n">
        <f aca="false">ROUND(P218*(1+N(Debts!$D$5)/12),2)</f>
        <v>0</v>
      </c>
      <c r="AA219" s="56" t="n">
        <f aca="false">ROUND(Q218*(1+N(Debts!$D$6)/12),2)</f>
        <v>0</v>
      </c>
      <c r="AB219" s="56" t="n">
        <f aca="false">ROUND(R218*(1+N(Debts!$D$7)/12),2)</f>
        <v>0</v>
      </c>
      <c r="AC219" s="56" t="n">
        <f aca="false">ROUND(S218*(1+N(Debts!$D$8)/12),2)</f>
        <v>0</v>
      </c>
      <c r="AD219" s="56" t="n">
        <f aca="false">ROUND(T218*(1+N(Debts!$D$9)/12),2)</f>
        <v>0</v>
      </c>
      <c r="AE219" s="56" t="n">
        <f aca="false">ROUND(U218*(1+N(Debts!$D$10)/12),2)</f>
        <v>0</v>
      </c>
      <c r="AF219" s="56" t="n">
        <f aca="false">ROUND(V218*(1+N(Debts!$D$11)/12),2)</f>
        <v>0</v>
      </c>
      <c r="AG219" s="56" t="n">
        <f aca="false">ROUND(W218*(1+N(Debts!$D$12)/12),2)</f>
        <v>0</v>
      </c>
      <c r="AH219" s="56" t="n">
        <f aca="false">ROUND(X218*(1+N(Debts!$D$13)/12),2)</f>
        <v>0</v>
      </c>
      <c r="AI219" s="56" t="n">
        <f aca="false">ROUND(Y218*(1+N(Debts!$D$14)/12),2)</f>
        <v>0</v>
      </c>
      <c r="AJ219" s="56" t="n">
        <f aca="false">MIN(Z219,MAX(0,N(Debts!$E$5)))</f>
        <v>0</v>
      </c>
      <c r="AK219" s="56" t="n">
        <f aca="false">MIN(AA219,MAX(0,N(Debts!$E$6)))</f>
        <v>0</v>
      </c>
      <c r="AL219" s="56" t="n">
        <f aca="false">MIN(AB219,MAX(0,N(Debts!$E$7)))</f>
        <v>0</v>
      </c>
      <c r="AM219" s="56" t="n">
        <f aca="false">MIN(AC219,MAX(0,N(Debts!$E$8)))</f>
        <v>0</v>
      </c>
      <c r="AN219" s="56" t="n">
        <f aca="false">MIN(AD219,MAX(0,N(Debts!$E$9)))</f>
        <v>0</v>
      </c>
      <c r="AO219" s="56" t="n">
        <f aca="false">MIN(AE219,MAX(0,N(Debts!$E$10)))</f>
        <v>0</v>
      </c>
      <c r="AP219" s="56" t="n">
        <f aca="false">MIN(AF219,MAX(0,N(Debts!$E$11)))</f>
        <v>0</v>
      </c>
      <c r="AQ219" s="56" t="n">
        <f aca="false">MIN(AG219,MAX(0,N(Debts!$E$12)))</f>
        <v>0</v>
      </c>
      <c r="AR219" s="56" t="n">
        <f aca="false">MIN(AH219,MAX(0,N(Debts!$E$13)))</f>
        <v>0</v>
      </c>
      <c r="AS219" s="56" t="n">
        <f aca="false">MIN(AI219,MAX(0,N(Debts!$E$14)))</f>
        <v>0</v>
      </c>
    </row>
    <row r="220" customFormat="false" ht="15" hidden="false" customHeight="false" outlineLevel="0" collapsed="false">
      <c r="A220" s="53" t="n">
        <v>216</v>
      </c>
      <c r="B220" s="54" t="n">
        <f aca="false">EDATE('Start Here'!$B$8,215)</f>
        <v>52871</v>
      </c>
      <c r="C220" s="42" t="n">
        <f aca="false">SUM(F220:O220)</f>
        <v>0</v>
      </c>
      <c r="D220" s="42" t="n">
        <f aca="false">ROUND(SUM($Z220:$AI220)-SUM(P219:Y219),2)</f>
        <v>0</v>
      </c>
      <c r="E220" s="55" t="n">
        <f aca="false">SUM(P220:Y220)</f>
        <v>0</v>
      </c>
      <c r="F220" s="42" t="n">
        <f aca="false">AJ220+MIN(Z220-AJ220,MAX(0,'Start Here'!$B$10-SUM($AJ220:$AS220)-SUMPRODUCT(($Z$3:$AI$3&lt;Z$3)*($Z220:$AI220-$AJ220:$AS220))))</f>
        <v>0</v>
      </c>
      <c r="G220" s="42" t="n">
        <f aca="false">AK220+MIN(AA220-AK220,MAX(0,'Start Here'!$B$10-SUM($AJ220:$AS220)-SUMPRODUCT(($Z$3:$AI$3&lt;AA$3)*($Z220:$AI220-$AJ220:$AS220))))</f>
        <v>0</v>
      </c>
      <c r="H220" s="42" t="n">
        <f aca="false">AL220+MIN(AB220-AL220,MAX(0,'Start Here'!$B$10-SUM($AJ220:$AS220)-SUMPRODUCT(($Z$3:$AI$3&lt;AB$3)*($Z220:$AI220-$AJ220:$AS220))))</f>
        <v>0</v>
      </c>
      <c r="I220" s="42" t="n">
        <f aca="false">AM220+MIN(AC220-AM220,MAX(0,'Start Here'!$B$10-SUM($AJ220:$AS220)-SUMPRODUCT(($Z$3:$AI$3&lt;AC$3)*($Z220:$AI220-$AJ220:$AS220))))</f>
        <v>0</v>
      </c>
      <c r="J220" s="42" t="n">
        <f aca="false">AN220+MIN(AD220-AN220,MAX(0,'Start Here'!$B$10-SUM($AJ220:$AS220)-SUMPRODUCT(($Z$3:$AI$3&lt;AD$3)*($Z220:$AI220-$AJ220:$AS220))))</f>
        <v>0</v>
      </c>
      <c r="K220" s="42" t="n">
        <f aca="false">AO220+MIN(AE220-AO220,MAX(0,'Start Here'!$B$10-SUM($AJ220:$AS220)-SUMPRODUCT(($Z$3:$AI$3&lt;AE$3)*($Z220:$AI220-$AJ220:$AS220))))</f>
        <v>0</v>
      </c>
      <c r="L220" s="42" t="n">
        <f aca="false">AP220+MIN(AF220-AP220,MAX(0,'Start Here'!$B$10-SUM($AJ220:$AS220)-SUMPRODUCT(($Z$3:$AI$3&lt;AF$3)*($Z220:$AI220-$AJ220:$AS220))))</f>
        <v>0</v>
      </c>
      <c r="M220" s="42" t="n">
        <f aca="false">AQ220+MIN(AG220-AQ220,MAX(0,'Start Here'!$B$10-SUM($AJ220:$AS220)-SUMPRODUCT(($Z$3:$AI$3&lt;AG$3)*($Z220:$AI220-$AJ220:$AS220))))</f>
        <v>0</v>
      </c>
      <c r="N220" s="42" t="n">
        <f aca="false">AR220+MIN(AH220-AR220,MAX(0,'Start Here'!$B$10-SUM($AJ220:$AS220)-SUMPRODUCT(($Z$3:$AI$3&lt;AH$3)*($Z220:$AI220-$AJ220:$AS220))))</f>
        <v>0</v>
      </c>
      <c r="O220" s="42" t="n">
        <f aca="false">AS220+MIN(AI220-AS220,MAX(0,'Start Here'!$B$10-SUM($AJ220:$AS220)-SUMPRODUCT(($Z$3:$AI$3&lt;AI$3)*($Z220:$AI220-$AJ220:$AS220))))</f>
        <v>0</v>
      </c>
      <c r="P220" s="42" t="n">
        <f aca="false">ROUND(Z220-F220,2)</f>
        <v>0</v>
      </c>
      <c r="Q220" s="42" t="n">
        <f aca="false">ROUND(AA220-G220,2)</f>
        <v>0</v>
      </c>
      <c r="R220" s="42" t="n">
        <f aca="false">ROUND(AB220-H220,2)</f>
        <v>0</v>
      </c>
      <c r="S220" s="42" t="n">
        <f aca="false">ROUND(AC220-I220,2)</f>
        <v>0</v>
      </c>
      <c r="T220" s="42" t="n">
        <f aca="false">ROUND(AD220-J220,2)</f>
        <v>0</v>
      </c>
      <c r="U220" s="42" t="n">
        <f aca="false">ROUND(AE220-K220,2)</f>
        <v>0</v>
      </c>
      <c r="V220" s="42" t="n">
        <f aca="false">ROUND(AF220-L220,2)</f>
        <v>0</v>
      </c>
      <c r="W220" s="42" t="n">
        <f aca="false">ROUND(AG220-M220,2)</f>
        <v>0</v>
      </c>
      <c r="X220" s="42" t="n">
        <f aca="false">ROUND(AH220-N220,2)</f>
        <v>0</v>
      </c>
      <c r="Y220" s="42" t="n">
        <f aca="false">ROUND(AI220-O220,2)</f>
        <v>0</v>
      </c>
      <c r="Z220" s="56" t="n">
        <f aca="false">ROUND(P219*(1+N(Debts!$D$5)/12),2)</f>
        <v>0</v>
      </c>
      <c r="AA220" s="56" t="n">
        <f aca="false">ROUND(Q219*(1+N(Debts!$D$6)/12),2)</f>
        <v>0</v>
      </c>
      <c r="AB220" s="56" t="n">
        <f aca="false">ROUND(R219*(1+N(Debts!$D$7)/12),2)</f>
        <v>0</v>
      </c>
      <c r="AC220" s="56" t="n">
        <f aca="false">ROUND(S219*(1+N(Debts!$D$8)/12),2)</f>
        <v>0</v>
      </c>
      <c r="AD220" s="56" t="n">
        <f aca="false">ROUND(T219*(1+N(Debts!$D$9)/12),2)</f>
        <v>0</v>
      </c>
      <c r="AE220" s="56" t="n">
        <f aca="false">ROUND(U219*(1+N(Debts!$D$10)/12),2)</f>
        <v>0</v>
      </c>
      <c r="AF220" s="56" t="n">
        <f aca="false">ROUND(V219*(1+N(Debts!$D$11)/12),2)</f>
        <v>0</v>
      </c>
      <c r="AG220" s="56" t="n">
        <f aca="false">ROUND(W219*(1+N(Debts!$D$12)/12),2)</f>
        <v>0</v>
      </c>
      <c r="AH220" s="56" t="n">
        <f aca="false">ROUND(X219*(1+N(Debts!$D$13)/12),2)</f>
        <v>0</v>
      </c>
      <c r="AI220" s="56" t="n">
        <f aca="false">ROUND(Y219*(1+N(Debts!$D$14)/12),2)</f>
        <v>0</v>
      </c>
      <c r="AJ220" s="56" t="n">
        <f aca="false">MIN(Z220,MAX(0,N(Debts!$E$5)))</f>
        <v>0</v>
      </c>
      <c r="AK220" s="56" t="n">
        <f aca="false">MIN(AA220,MAX(0,N(Debts!$E$6)))</f>
        <v>0</v>
      </c>
      <c r="AL220" s="56" t="n">
        <f aca="false">MIN(AB220,MAX(0,N(Debts!$E$7)))</f>
        <v>0</v>
      </c>
      <c r="AM220" s="56" t="n">
        <f aca="false">MIN(AC220,MAX(0,N(Debts!$E$8)))</f>
        <v>0</v>
      </c>
      <c r="AN220" s="56" t="n">
        <f aca="false">MIN(AD220,MAX(0,N(Debts!$E$9)))</f>
        <v>0</v>
      </c>
      <c r="AO220" s="56" t="n">
        <f aca="false">MIN(AE220,MAX(0,N(Debts!$E$10)))</f>
        <v>0</v>
      </c>
      <c r="AP220" s="56" t="n">
        <f aca="false">MIN(AF220,MAX(0,N(Debts!$E$11)))</f>
        <v>0</v>
      </c>
      <c r="AQ220" s="56" t="n">
        <f aca="false">MIN(AG220,MAX(0,N(Debts!$E$12)))</f>
        <v>0</v>
      </c>
      <c r="AR220" s="56" t="n">
        <f aca="false">MIN(AH220,MAX(0,N(Debts!$E$13)))</f>
        <v>0</v>
      </c>
      <c r="AS220" s="56" t="n">
        <f aca="false">MIN(AI220,MAX(0,N(Debts!$E$14)))</f>
        <v>0</v>
      </c>
    </row>
    <row r="221" customFormat="false" ht="15" hidden="false" customHeight="false" outlineLevel="0" collapsed="false">
      <c r="A221" s="53" t="n">
        <v>217</v>
      </c>
      <c r="B221" s="54" t="n">
        <f aca="false">EDATE('Start Here'!$B$8,216)</f>
        <v>52902</v>
      </c>
      <c r="C221" s="42" t="n">
        <f aca="false">SUM(F221:O221)</f>
        <v>0</v>
      </c>
      <c r="D221" s="42" t="n">
        <f aca="false">ROUND(SUM($Z221:$AI221)-SUM(P220:Y220),2)</f>
        <v>0</v>
      </c>
      <c r="E221" s="55" t="n">
        <f aca="false">SUM(P221:Y221)</f>
        <v>0</v>
      </c>
      <c r="F221" s="42" t="n">
        <f aca="false">AJ221+MIN(Z221-AJ221,MAX(0,'Start Here'!$B$10-SUM($AJ221:$AS221)-SUMPRODUCT(($Z$3:$AI$3&lt;Z$3)*($Z221:$AI221-$AJ221:$AS221))))</f>
        <v>0</v>
      </c>
      <c r="G221" s="42" t="n">
        <f aca="false">AK221+MIN(AA221-AK221,MAX(0,'Start Here'!$B$10-SUM($AJ221:$AS221)-SUMPRODUCT(($Z$3:$AI$3&lt;AA$3)*($Z221:$AI221-$AJ221:$AS221))))</f>
        <v>0</v>
      </c>
      <c r="H221" s="42" t="n">
        <f aca="false">AL221+MIN(AB221-AL221,MAX(0,'Start Here'!$B$10-SUM($AJ221:$AS221)-SUMPRODUCT(($Z$3:$AI$3&lt;AB$3)*($Z221:$AI221-$AJ221:$AS221))))</f>
        <v>0</v>
      </c>
      <c r="I221" s="42" t="n">
        <f aca="false">AM221+MIN(AC221-AM221,MAX(0,'Start Here'!$B$10-SUM($AJ221:$AS221)-SUMPRODUCT(($Z$3:$AI$3&lt;AC$3)*($Z221:$AI221-$AJ221:$AS221))))</f>
        <v>0</v>
      </c>
      <c r="J221" s="42" t="n">
        <f aca="false">AN221+MIN(AD221-AN221,MAX(0,'Start Here'!$B$10-SUM($AJ221:$AS221)-SUMPRODUCT(($Z$3:$AI$3&lt;AD$3)*($Z221:$AI221-$AJ221:$AS221))))</f>
        <v>0</v>
      </c>
      <c r="K221" s="42" t="n">
        <f aca="false">AO221+MIN(AE221-AO221,MAX(0,'Start Here'!$B$10-SUM($AJ221:$AS221)-SUMPRODUCT(($Z$3:$AI$3&lt;AE$3)*($Z221:$AI221-$AJ221:$AS221))))</f>
        <v>0</v>
      </c>
      <c r="L221" s="42" t="n">
        <f aca="false">AP221+MIN(AF221-AP221,MAX(0,'Start Here'!$B$10-SUM($AJ221:$AS221)-SUMPRODUCT(($Z$3:$AI$3&lt;AF$3)*($Z221:$AI221-$AJ221:$AS221))))</f>
        <v>0</v>
      </c>
      <c r="M221" s="42" t="n">
        <f aca="false">AQ221+MIN(AG221-AQ221,MAX(0,'Start Here'!$B$10-SUM($AJ221:$AS221)-SUMPRODUCT(($Z$3:$AI$3&lt;AG$3)*($Z221:$AI221-$AJ221:$AS221))))</f>
        <v>0</v>
      </c>
      <c r="N221" s="42" t="n">
        <f aca="false">AR221+MIN(AH221-AR221,MAX(0,'Start Here'!$B$10-SUM($AJ221:$AS221)-SUMPRODUCT(($Z$3:$AI$3&lt;AH$3)*($Z221:$AI221-$AJ221:$AS221))))</f>
        <v>0</v>
      </c>
      <c r="O221" s="42" t="n">
        <f aca="false">AS221+MIN(AI221-AS221,MAX(0,'Start Here'!$B$10-SUM($AJ221:$AS221)-SUMPRODUCT(($Z$3:$AI$3&lt;AI$3)*($Z221:$AI221-$AJ221:$AS221))))</f>
        <v>0</v>
      </c>
      <c r="P221" s="42" t="n">
        <f aca="false">ROUND(Z221-F221,2)</f>
        <v>0</v>
      </c>
      <c r="Q221" s="42" t="n">
        <f aca="false">ROUND(AA221-G221,2)</f>
        <v>0</v>
      </c>
      <c r="R221" s="42" t="n">
        <f aca="false">ROUND(AB221-H221,2)</f>
        <v>0</v>
      </c>
      <c r="S221" s="42" t="n">
        <f aca="false">ROUND(AC221-I221,2)</f>
        <v>0</v>
      </c>
      <c r="T221" s="42" t="n">
        <f aca="false">ROUND(AD221-J221,2)</f>
        <v>0</v>
      </c>
      <c r="U221" s="42" t="n">
        <f aca="false">ROUND(AE221-K221,2)</f>
        <v>0</v>
      </c>
      <c r="V221" s="42" t="n">
        <f aca="false">ROUND(AF221-L221,2)</f>
        <v>0</v>
      </c>
      <c r="W221" s="42" t="n">
        <f aca="false">ROUND(AG221-M221,2)</f>
        <v>0</v>
      </c>
      <c r="X221" s="42" t="n">
        <f aca="false">ROUND(AH221-N221,2)</f>
        <v>0</v>
      </c>
      <c r="Y221" s="42" t="n">
        <f aca="false">ROUND(AI221-O221,2)</f>
        <v>0</v>
      </c>
      <c r="Z221" s="56" t="n">
        <f aca="false">ROUND(P220*(1+N(Debts!$D$5)/12),2)</f>
        <v>0</v>
      </c>
      <c r="AA221" s="56" t="n">
        <f aca="false">ROUND(Q220*(1+N(Debts!$D$6)/12),2)</f>
        <v>0</v>
      </c>
      <c r="AB221" s="56" t="n">
        <f aca="false">ROUND(R220*(1+N(Debts!$D$7)/12),2)</f>
        <v>0</v>
      </c>
      <c r="AC221" s="56" t="n">
        <f aca="false">ROUND(S220*(1+N(Debts!$D$8)/12),2)</f>
        <v>0</v>
      </c>
      <c r="AD221" s="56" t="n">
        <f aca="false">ROUND(T220*(1+N(Debts!$D$9)/12),2)</f>
        <v>0</v>
      </c>
      <c r="AE221" s="56" t="n">
        <f aca="false">ROUND(U220*(1+N(Debts!$D$10)/12),2)</f>
        <v>0</v>
      </c>
      <c r="AF221" s="56" t="n">
        <f aca="false">ROUND(V220*(1+N(Debts!$D$11)/12),2)</f>
        <v>0</v>
      </c>
      <c r="AG221" s="56" t="n">
        <f aca="false">ROUND(W220*(1+N(Debts!$D$12)/12),2)</f>
        <v>0</v>
      </c>
      <c r="AH221" s="56" t="n">
        <f aca="false">ROUND(X220*(1+N(Debts!$D$13)/12),2)</f>
        <v>0</v>
      </c>
      <c r="AI221" s="56" t="n">
        <f aca="false">ROUND(Y220*(1+N(Debts!$D$14)/12),2)</f>
        <v>0</v>
      </c>
      <c r="AJ221" s="56" t="n">
        <f aca="false">MIN(Z221,MAX(0,N(Debts!$E$5)))</f>
        <v>0</v>
      </c>
      <c r="AK221" s="56" t="n">
        <f aca="false">MIN(AA221,MAX(0,N(Debts!$E$6)))</f>
        <v>0</v>
      </c>
      <c r="AL221" s="56" t="n">
        <f aca="false">MIN(AB221,MAX(0,N(Debts!$E$7)))</f>
        <v>0</v>
      </c>
      <c r="AM221" s="56" t="n">
        <f aca="false">MIN(AC221,MAX(0,N(Debts!$E$8)))</f>
        <v>0</v>
      </c>
      <c r="AN221" s="56" t="n">
        <f aca="false">MIN(AD221,MAX(0,N(Debts!$E$9)))</f>
        <v>0</v>
      </c>
      <c r="AO221" s="56" t="n">
        <f aca="false">MIN(AE221,MAX(0,N(Debts!$E$10)))</f>
        <v>0</v>
      </c>
      <c r="AP221" s="56" t="n">
        <f aca="false">MIN(AF221,MAX(0,N(Debts!$E$11)))</f>
        <v>0</v>
      </c>
      <c r="AQ221" s="56" t="n">
        <f aca="false">MIN(AG221,MAX(0,N(Debts!$E$12)))</f>
        <v>0</v>
      </c>
      <c r="AR221" s="56" t="n">
        <f aca="false">MIN(AH221,MAX(0,N(Debts!$E$13)))</f>
        <v>0</v>
      </c>
      <c r="AS221" s="56" t="n">
        <f aca="false">MIN(AI221,MAX(0,N(Debts!$E$14)))</f>
        <v>0</v>
      </c>
    </row>
    <row r="222" customFormat="false" ht="15" hidden="false" customHeight="false" outlineLevel="0" collapsed="false">
      <c r="A222" s="53" t="n">
        <v>218</v>
      </c>
      <c r="B222" s="54" t="n">
        <f aca="false">EDATE('Start Here'!$B$8,217)</f>
        <v>52932</v>
      </c>
      <c r="C222" s="42" t="n">
        <f aca="false">SUM(F222:O222)</f>
        <v>0</v>
      </c>
      <c r="D222" s="42" t="n">
        <f aca="false">ROUND(SUM($Z222:$AI222)-SUM(P221:Y221),2)</f>
        <v>0</v>
      </c>
      <c r="E222" s="55" t="n">
        <f aca="false">SUM(P222:Y222)</f>
        <v>0</v>
      </c>
      <c r="F222" s="42" t="n">
        <f aca="false">AJ222+MIN(Z222-AJ222,MAX(0,'Start Here'!$B$10-SUM($AJ222:$AS222)-SUMPRODUCT(($Z$3:$AI$3&lt;Z$3)*($Z222:$AI222-$AJ222:$AS222))))</f>
        <v>0</v>
      </c>
      <c r="G222" s="42" t="n">
        <f aca="false">AK222+MIN(AA222-AK222,MAX(0,'Start Here'!$B$10-SUM($AJ222:$AS222)-SUMPRODUCT(($Z$3:$AI$3&lt;AA$3)*($Z222:$AI222-$AJ222:$AS222))))</f>
        <v>0</v>
      </c>
      <c r="H222" s="42" t="n">
        <f aca="false">AL222+MIN(AB222-AL222,MAX(0,'Start Here'!$B$10-SUM($AJ222:$AS222)-SUMPRODUCT(($Z$3:$AI$3&lt;AB$3)*($Z222:$AI222-$AJ222:$AS222))))</f>
        <v>0</v>
      </c>
      <c r="I222" s="42" t="n">
        <f aca="false">AM222+MIN(AC222-AM222,MAX(0,'Start Here'!$B$10-SUM($AJ222:$AS222)-SUMPRODUCT(($Z$3:$AI$3&lt;AC$3)*($Z222:$AI222-$AJ222:$AS222))))</f>
        <v>0</v>
      </c>
      <c r="J222" s="42" t="n">
        <f aca="false">AN222+MIN(AD222-AN222,MAX(0,'Start Here'!$B$10-SUM($AJ222:$AS222)-SUMPRODUCT(($Z$3:$AI$3&lt;AD$3)*($Z222:$AI222-$AJ222:$AS222))))</f>
        <v>0</v>
      </c>
      <c r="K222" s="42" t="n">
        <f aca="false">AO222+MIN(AE222-AO222,MAX(0,'Start Here'!$B$10-SUM($AJ222:$AS222)-SUMPRODUCT(($Z$3:$AI$3&lt;AE$3)*($Z222:$AI222-$AJ222:$AS222))))</f>
        <v>0</v>
      </c>
      <c r="L222" s="42" t="n">
        <f aca="false">AP222+MIN(AF222-AP222,MAX(0,'Start Here'!$B$10-SUM($AJ222:$AS222)-SUMPRODUCT(($Z$3:$AI$3&lt;AF$3)*($Z222:$AI222-$AJ222:$AS222))))</f>
        <v>0</v>
      </c>
      <c r="M222" s="42" t="n">
        <f aca="false">AQ222+MIN(AG222-AQ222,MAX(0,'Start Here'!$B$10-SUM($AJ222:$AS222)-SUMPRODUCT(($Z$3:$AI$3&lt;AG$3)*($Z222:$AI222-$AJ222:$AS222))))</f>
        <v>0</v>
      </c>
      <c r="N222" s="42" t="n">
        <f aca="false">AR222+MIN(AH222-AR222,MAX(0,'Start Here'!$B$10-SUM($AJ222:$AS222)-SUMPRODUCT(($Z$3:$AI$3&lt;AH$3)*($Z222:$AI222-$AJ222:$AS222))))</f>
        <v>0</v>
      </c>
      <c r="O222" s="42" t="n">
        <f aca="false">AS222+MIN(AI222-AS222,MAX(0,'Start Here'!$B$10-SUM($AJ222:$AS222)-SUMPRODUCT(($Z$3:$AI$3&lt;AI$3)*($Z222:$AI222-$AJ222:$AS222))))</f>
        <v>0</v>
      </c>
      <c r="P222" s="42" t="n">
        <f aca="false">ROUND(Z222-F222,2)</f>
        <v>0</v>
      </c>
      <c r="Q222" s="42" t="n">
        <f aca="false">ROUND(AA222-G222,2)</f>
        <v>0</v>
      </c>
      <c r="R222" s="42" t="n">
        <f aca="false">ROUND(AB222-H222,2)</f>
        <v>0</v>
      </c>
      <c r="S222" s="42" t="n">
        <f aca="false">ROUND(AC222-I222,2)</f>
        <v>0</v>
      </c>
      <c r="T222" s="42" t="n">
        <f aca="false">ROUND(AD222-J222,2)</f>
        <v>0</v>
      </c>
      <c r="U222" s="42" t="n">
        <f aca="false">ROUND(AE222-K222,2)</f>
        <v>0</v>
      </c>
      <c r="V222" s="42" t="n">
        <f aca="false">ROUND(AF222-L222,2)</f>
        <v>0</v>
      </c>
      <c r="W222" s="42" t="n">
        <f aca="false">ROUND(AG222-M222,2)</f>
        <v>0</v>
      </c>
      <c r="X222" s="42" t="n">
        <f aca="false">ROUND(AH222-N222,2)</f>
        <v>0</v>
      </c>
      <c r="Y222" s="42" t="n">
        <f aca="false">ROUND(AI222-O222,2)</f>
        <v>0</v>
      </c>
      <c r="Z222" s="56" t="n">
        <f aca="false">ROUND(P221*(1+N(Debts!$D$5)/12),2)</f>
        <v>0</v>
      </c>
      <c r="AA222" s="56" t="n">
        <f aca="false">ROUND(Q221*(1+N(Debts!$D$6)/12),2)</f>
        <v>0</v>
      </c>
      <c r="AB222" s="56" t="n">
        <f aca="false">ROUND(R221*(1+N(Debts!$D$7)/12),2)</f>
        <v>0</v>
      </c>
      <c r="AC222" s="56" t="n">
        <f aca="false">ROUND(S221*(1+N(Debts!$D$8)/12),2)</f>
        <v>0</v>
      </c>
      <c r="AD222" s="56" t="n">
        <f aca="false">ROUND(T221*(1+N(Debts!$D$9)/12),2)</f>
        <v>0</v>
      </c>
      <c r="AE222" s="56" t="n">
        <f aca="false">ROUND(U221*(1+N(Debts!$D$10)/12),2)</f>
        <v>0</v>
      </c>
      <c r="AF222" s="56" t="n">
        <f aca="false">ROUND(V221*(1+N(Debts!$D$11)/12),2)</f>
        <v>0</v>
      </c>
      <c r="AG222" s="56" t="n">
        <f aca="false">ROUND(W221*(1+N(Debts!$D$12)/12),2)</f>
        <v>0</v>
      </c>
      <c r="AH222" s="56" t="n">
        <f aca="false">ROUND(X221*(1+N(Debts!$D$13)/12),2)</f>
        <v>0</v>
      </c>
      <c r="AI222" s="56" t="n">
        <f aca="false">ROUND(Y221*(1+N(Debts!$D$14)/12),2)</f>
        <v>0</v>
      </c>
      <c r="AJ222" s="56" t="n">
        <f aca="false">MIN(Z222,MAX(0,N(Debts!$E$5)))</f>
        <v>0</v>
      </c>
      <c r="AK222" s="56" t="n">
        <f aca="false">MIN(AA222,MAX(0,N(Debts!$E$6)))</f>
        <v>0</v>
      </c>
      <c r="AL222" s="56" t="n">
        <f aca="false">MIN(AB222,MAX(0,N(Debts!$E$7)))</f>
        <v>0</v>
      </c>
      <c r="AM222" s="56" t="n">
        <f aca="false">MIN(AC222,MAX(0,N(Debts!$E$8)))</f>
        <v>0</v>
      </c>
      <c r="AN222" s="56" t="n">
        <f aca="false">MIN(AD222,MAX(0,N(Debts!$E$9)))</f>
        <v>0</v>
      </c>
      <c r="AO222" s="56" t="n">
        <f aca="false">MIN(AE222,MAX(0,N(Debts!$E$10)))</f>
        <v>0</v>
      </c>
      <c r="AP222" s="56" t="n">
        <f aca="false">MIN(AF222,MAX(0,N(Debts!$E$11)))</f>
        <v>0</v>
      </c>
      <c r="AQ222" s="56" t="n">
        <f aca="false">MIN(AG222,MAX(0,N(Debts!$E$12)))</f>
        <v>0</v>
      </c>
      <c r="AR222" s="56" t="n">
        <f aca="false">MIN(AH222,MAX(0,N(Debts!$E$13)))</f>
        <v>0</v>
      </c>
      <c r="AS222" s="56" t="n">
        <f aca="false">MIN(AI222,MAX(0,N(Debts!$E$14)))</f>
        <v>0</v>
      </c>
    </row>
    <row r="223" customFormat="false" ht="15" hidden="false" customHeight="false" outlineLevel="0" collapsed="false">
      <c r="A223" s="53" t="n">
        <v>219</v>
      </c>
      <c r="B223" s="54" t="n">
        <f aca="false">EDATE('Start Here'!$B$8,218)</f>
        <v>52963</v>
      </c>
      <c r="C223" s="42" t="n">
        <f aca="false">SUM(F223:O223)</f>
        <v>0</v>
      </c>
      <c r="D223" s="42" t="n">
        <f aca="false">ROUND(SUM($Z223:$AI223)-SUM(P222:Y222),2)</f>
        <v>0</v>
      </c>
      <c r="E223" s="55" t="n">
        <f aca="false">SUM(P223:Y223)</f>
        <v>0</v>
      </c>
      <c r="F223" s="42" t="n">
        <f aca="false">AJ223+MIN(Z223-AJ223,MAX(0,'Start Here'!$B$10-SUM($AJ223:$AS223)-SUMPRODUCT(($Z$3:$AI$3&lt;Z$3)*($Z223:$AI223-$AJ223:$AS223))))</f>
        <v>0</v>
      </c>
      <c r="G223" s="42" t="n">
        <f aca="false">AK223+MIN(AA223-AK223,MAX(0,'Start Here'!$B$10-SUM($AJ223:$AS223)-SUMPRODUCT(($Z$3:$AI$3&lt;AA$3)*($Z223:$AI223-$AJ223:$AS223))))</f>
        <v>0</v>
      </c>
      <c r="H223" s="42" t="n">
        <f aca="false">AL223+MIN(AB223-AL223,MAX(0,'Start Here'!$B$10-SUM($AJ223:$AS223)-SUMPRODUCT(($Z$3:$AI$3&lt;AB$3)*($Z223:$AI223-$AJ223:$AS223))))</f>
        <v>0</v>
      </c>
      <c r="I223" s="42" t="n">
        <f aca="false">AM223+MIN(AC223-AM223,MAX(0,'Start Here'!$B$10-SUM($AJ223:$AS223)-SUMPRODUCT(($Z$3:$AI$3&lt;AC$3)*($Z223:$AI223-$AJ223:$AS223))))</f>
        <v>0</v>
      </c>
      <c r="J223" s="42" t="n">
        <f aca="false">AN223+MIN(AD223-AN223,MAX(0,'Start Here'!$B$10-SUM($AJ223:$AS223)-SUMPRODUCT(($Z$3:$AI$3&lt;AD$3)*($Z223:$AI223-$AJ223:$AS223))))</f>
        <v>0</v>
      </c>
      <c r="K223" s="42" t="n">
        <f aca="false">AO223+MIN(AE223-AO223,MAX(0,'Start Here'!$B$10-SUM($AJ223:$AS223)-SUMPRODUCT(($Z$3:$AI$3&lt;AE$3)*($Z223:$AI223-$AJ223:$AS223))))</f>
        <v>0</v>
      </c>
      <c r="L223" s="42" t="n">
        <f aca="false">AP223+MIN(AF223-AP223,MAX(0,'Start Here'!$B$10-SUM($AJ223:$AS223)-SUMPRODUCT(($Z$3:$AI$3&lt;AF$3)*($Z223:$AI223-$AJ223:$AS223))))</f>
        <v>0</v>
      </c>
      <c r="M223" s="42" t="n">
        <f aca="false">AQ223+MIN(AG223-AQ223,MAX(0,'Start Here'!$B$10-SUM($AJ223:$AS223)-SUMPRODUCT(($Z$3:$AI$3&lt;AG$3)*($Z223:$AI223-$AJ223:$AS223))))</f>
        <v>0</v>
      </c>
      <c r="N223" s="42" t="n">
        <f aca="false">AR223+MIN(AH223-AR223,MAX(0,'Start Here'!$B$10-SUM($AJ223:$AS223)-SUMPRODUCT(($Z$3:$AI$3&lt;AH$3)*($Z223:$AI223-$AJ223:$AS223))))</f>
        <v>0</v>
      </c>
      <c r="O223" s="42" t="n">
        <f aca="false">AS223+MIN(AI223-AS223,MAX(0,'Start Here'!$B$10-SUM($AJ223:$AS223)-SUMPRODUCT(($Z$3:$AI$3&lt;AI$3)*($Z223:$AI223-$AJ223:$AS223))))</f>
        <v>0</v>
      </c>
      <c r="P223" s="42" t="n">
        <f aca="false">ROUND(Z223-F223,2)</f>
        <v>0</v>
      </c>
      <c r="Q223" s="42" t="n">
        <f aca="false">ROUND(AA223-G223,2)</f>
        <v>0</v>
      </c>
      <c r="R223" s="42" t="n">
        <f aca="false">ROUND(AB223-H223,2)</f>
        <v>0</v>
      </c>
      <c r="S223" s="42" t="n">
        <f aca="false">ROUND(AC223-I223,2)</f>
        <v>0</v>
      </c>
      <c r="T223" s="42" t="n">
        <f aca="false">ROUND(AD223-J223,2)</f>
        <v>0</v>
      </c>
      <c r="U223" s="42" t="n">
        <f aca="false">ROUND(AE223-K223,2)</f>
        <v>0</v>
      </c>
      <c r="V223" s="42" t="n">
        <f aca="false">ROUND(AF223-L223,2)</f>
        <v>0</v>
      </c>
      <c r="W223" s="42" t="n">
        <f aca="false">ROUND(AG223-M223,2)</f>
        <v>0</v>
      </c>
      <c r="X223" s="42" t="n">
        <f aca="false">ROUND(AH223-N223,2)</f>
        <v>0</v>
      </c>
      <c r="Y223" s="42" t="n">
        <f aca="false">ROUND(AI223-O223,2)</f>
        <v>0</v>
      </c>
      <c r="Z223" s="56" t="n">
        <f aca="false">ROUND(P222*(1+N(Debts!$D$5)/12),2)</f>
        <v>0</v>
      </c>
      <c r="AA223" s="56" t="n">
        <f aca="false">ROUND(Q222*(1+N(Debts!$D$6)/12),2)</f>
        <v>0</v>
      </c>
      <c r="AB223" s="56" t="n">
        <f aca="false">ROUND(R222*(1+N(Debts!$D$7)/12),2)</f>
        <v>0</v>
      </c>
      <c r="AC223" s="56" t="n">
        <f aca="false">ROUND(S222*(1+N(Debts!$D$8)/12),2)</f>
        <v>0</v>
      </c>
      <c r="AD223" s="56" t="n">
        <f aca="false">ROUND(T222*(1+N(Debts!$D$9)/12),2)</f>
        <v>0</v>
      </c>
      <c r="AE223" s="56" t="n">
        <f aca="false">ROUND(U222*(1+N(Debts!$D$10)/12),2)</f>
        <v>0</v>
      </c>
      <c r="AF223" s="56" t="n">
        <f aca="false">ROUND(V222*(1+N(Debts!$D$11)/12),2)</f>
        <v>0</v>
      </c>
      <c r="AG223" s="56" t="n">
        <f aca="false">ROUND(W222*(1+N(Debts!$D$12)/12),2)</f>
        <v>0</v>
      </c>
      <c r="AH223" s="56" t="n">
        <f aca="false">ROUND(X222*(1+N(Debts!$D$13)/12),2)</f>
        <v>0</v>
      </c>
      <c r="AI223" s="56" t="n">
        <f aca="false">ROUND(Y222*(1+N(Debts!$D$14)/12),2)</f>
        <v>0</v>
      </c>
      <c r="AJ223" s="56" t="n">
        <f aca="false">MIN(Z223,MAX(0,N(Debts!$E$5)))</f>
        <v>0</v>
      </c>
      <c r="AK223" s="56" t="n">
        <f aca="false">MIN(AA223,MAX(0,N(Debts!$E$6)))</f>
        <v>0</v>
      </c>
      <c r="AL223" s="56" t="n">
        <f aca="false">MIN(AB223,MAX(0,N(Debts!$E$7)))</f>
        <v>0</v>
      </c>
      <c r="AM223" s="56" t="n">
        <f aca="false">MIN(AC223,MAX(0,N(Debts!$E$8)))</f>
        <v>0</v>
      </c>
      <c r="AN223" s="56" t="n">
        <f aca="false">MIN(AD223,MAX(0,N(Debts!$E$9)))</f>
        <v>0</v>
      </c>
      <c r="AO223" s="56" t="n">
        <f aca="false">MIN(AE223,MAX(0,N(Debts!$E$10)))</f>
        <v>0</v>
      </c>
      <c r="AP223" s="56" t="n">
        <f aca="false">MIN(AF223,MAX(0,N(Debts!$E$11)))</f>
        <v>0</v>
      </c>
      <c r="AQ223" s="56" t="n">
        <f aca="false">MIN(AG223,MAX(0,N(Debts!$E$12)))</f>
        <v>0</v>
      </c>
      <c r="AR223" s="56" t="n">
        <f aca="false">MIN(AH223,MAX(0,N(Debts!$E$13)))</f>
        <v>0</v>
      </c>
      <c r="AS223" s="56" t="n">
        <f aca="false">MIN(AI223,MAX(0,N(Debts!$E$14)))</f>
        <v>0</v>
      </c>
    </row>
    <row r="224" customFormat="false" ht="15" hidden="false" customHeight="false" outlineLevel="0" collapsed="false">
      <c r="A224" s="53" t="n">
        <v>220</v>
      </c>
      <c r="B224" s="54" t="n">
        <f aca="false">EDATE('Start Here'!$B$8,219)</f>
        <v>52994</v>
      </c>
      <c r="C224" s="42" t="n">
        <f aca="false">SUM(F224:O224)</f>
        <v>0</v>
      </c>
      <c r="D224" s="42" t="n">
        <f aca="false">ROUND(SUM($Z224:$AI224)-SUM(P223:Y223),2)</f>
        <v>0</v>
      </c>
      <c r="E224" s="55" t="n">
        <f aca="false">SUM(P224:Y224)</f>
        <v>0</v>
      </c>
      <c r="F224" s="42" t="n">
        <f aca="false">AJ224+MIN(Z224-AJ224,MAX(0,'Start Here'!$B$10-SUM($AJ224:$AS224)-SUMPRODUCT(($Z$3:$AI$3&lt;Z$3)*($Z224:$AI224-$AJ224:$AS224))))</f>
        <v>0</v>
      </c>
      <c r="G224" s="42" t="n">
        <f aca="false">AK224+MIN(AA224-AK224,MAX(0,'Start Here'!$B$10-SUM($AJ224:$AS224)-SUMPRODUCT(($Z$3:$AI$3&lt;AA$3)*($Z224:$AI224-$AJ224:$AS224))))</f>
        <v>0</v>
      </c>
      <c r="H224" s="42" t="n">
        <f aca="false">AL224+MIN(AB224-AL224,MAX(0,'Start Here'!$B$10-SUM($AJ224:$AS224)-SUMPRODUCT(($Z$3:$AI$3&lt;AB$3)*($Z224:$AI224-$AJ224:$AS224))))</f>
        <v>0</v>
      </c>
      <c r="I224" s="42" t="n">
        <f aca="false">AM224+MIN(AC224-AM224,MAX(0,'Start Here'!$B$10-SUM($AJ224:$AS224)-SUMPRODUCT(($Z$3:$AI$3&lt;AC$3)*($Z224:$AI224-$AJ224:$AS224))))</f>
        <v>0</v>
      </c>
      <c r="J224" s="42" t="n">
        <f aca="false">AN224+MIN(AD224-AN224,MAX(0,'Start Here'!$B$10-SUM($AJ224:$AS224)-SUMPRODUCT(($Z$3:$AI$3&lt;AD$3)*($Z224:$AI224-$AJ224:$AS224))))</f>
        <v>0</v>
      </c>
      <c r="K224" s="42" t="n">
        <f aca="false">AO224+MIN(AE224-AO224,MAX(0,'Start Here'!$B$10-SUM($AJ224:$AS224)-SUMPRODUCT(($Z$3:$AI$3&lt;AE$3)*($Z224:$AI224-$AJ224:$AS224))))</f>
        <v>0</v>
      </c>
      <c r="L224" s="42" t="n">
        <f aca="false">AP224+MIN(AF224-AP224,MAX(0,'Start Here'!$B$10-SUM($AJ224:$AS224)-SUMPRODUCT(($Z$3:$AI$3&lt;AF$3)*($Z224:$AI224-$AJ224:$AS224))))</f>
        <v>0</v>
      </c>
      <c r="M224" s="42" t="n">
        <f aca="false">AQ224+MIN(AG224-AQ224,MAX(0,'Start Here'!$B$10-SUM($AJ224:$AS224)-SUMPRODUCT(($Z$3:$AI$3&lt;AG$3)*($Z224:$AI224-$AJ224:$AS224))))</f>
        <v>0</v>
      </c>
      <c r="N224" s="42" t="n">
        <f aca="false">AR224+MIN(AH224-AR224,MAX(0,'Start Here'!$B$10-SUM($AJ224:$AS224)-SUMPRODUCT(($Z$3:$AI$3&lt;AH$3)*($Z224:$AI224-$AJ224:$AS224))))</f>
        <v>0</v>
      </c>
      <c r="O224" s="42" t="n">
        <f aca="false">AS224+MIN(AI224-AS224,MAX(0,'Start Here'!$B$10-SUM($AJ224:$AS224)-SUMPRODUCT(($Z$3:$AI$3&lt;AI$3)*($Z224:$AI224-$AJ224:$AS224))))</f>
        <v>0</v>
      </c>
      <c r="P224" s="42" t="n">
        <f aca="false">ROUND(Z224-F224,2)</f>
        <v>0</v>
      </c>
      <c r="Q224" s="42" t="n">
        <f aca="false">ROUND(AA224-G224,2)</f>
        <v>0</v>
      </c>
      <c r="R224" s="42" t="n">
        <f aca="false">ROUND(AB224-H224,2)</f>
        <v>0</v>
      </c>
      <c r="S224" s="42" t="n">
        <f aca="false">ROUND(AC224-I224,2)</f>
        <v>0</v>
      </c>
      <c r="T224" s="42" t="n">
        <f aca="false">ROUND(AD224-J224,2)</f>
        <v>0</v>
      </c>
      <c r="U224" s="42" t="n">
        <f aca="false">ROUND(AE224-K224,2)</f>
        <v>0</v>
      </c>
      <c r="V224" s="42" t="n">
        <f aca="false">ROUND(AF224-L224,2)</f>
        <v>0</v>
      </c>
      <c r="W224" s="42" t="n">
        <f aca="false">ROUND(AG224-M224,2)</f>
        <v>0</v>
      </c>
      <c r="X224" s="42" t="n">
        <f aca="false">ROUND(AH224-N224,2)</f>
        <v>0</v>
      </c>
      <c r="Y224" s="42" t="n">
        <f aca="false">ROUND(AI224-O224,2)</f>
        <v>0</v>
      </c>
      <c r="Z224" s="56" t="n">
        <f aca="false">ROUND(P223*(1+N(Debts!$D$5)/12),2)</f>
        <v>0</v>
      </c>
      <c r="AA224" s="56" t="n">
        <f aca="false">ROUND(Q223*(1+N(Debts!$D$6)/12),2)</f>
        <v>0</v>
      </c>
      <c r="AB224" s="56" t="n">
        <f aca="false">ROUND(R223*(1+N(Debts!$D$7)/12),2)</f>
        <v>0</v>
      </c>
      <c r="AC224" s="56" t="n">
        <f aca="false">ROUND(S223*(1+N(Debts!$D$8)/12),2)</f>
        <v>0</v>
      </c>
      <c r="AD224" s="56" t="n">
        <f aca="false">ROUND(T223*(1+N(Debts!$D$9)/12),2)</f>
        <v>0</v>
      </c>
      <c r="AE224" s="56" t="n">
        <f aca="false">ROUND(U223*(1+N(Debts!$D$10)/12),2)</f>
        <v>0</v>
      </c>
      <c r="AF224" s="56" t="n">
        <f aca="false">ROUND(V223*(1+N(Debts!$D$11)/12),2)</f>
        <v>0</v>
      </c>
      <c r="AG224" s="56" t="n">
        <f aca="false">ROUND(W223*(1+N(Debts!$D$12)/12),2)</f>
        <v>0</v>
      </c>
      <c r="AH224" s="56" t="n">
        <f aca="false">ROUND(X223*(1+N(Debts!$D$13)/12),2)</f>
        <v>0</v>
      </c>
      <c r="AI224" s="56" t="n">
        <f aca="false">ROUND(Y223*(1+N(Debts!$D$14)/12),2)</f>
        <v>0</v>
      </c>
      <c r="AJ224" s="56" t="n">
        <f aca="false">MIN(Z224,MAX(0,N(Debts!$E$5)))</f>
        <v>0</v>
      </c>
      <c r="AK224" s="56" t="n">
        <f aca="false">MIN(AA224,MAX(0,N(Debts!$E$6)))</f>
        <v>0</v>
      </c>
      <c r="AL224" s="56" t="n">
        <f aca="false">MIN(AB224,MAX(0,N(Debts!$E$7)))</f>
        <v>0</v>
      </c>
      <c r="AM224" s="56" t="n">
        <f aca="false">MIN(AC224,MAX(0,N(Debts!$E$8)))</f>
        <v>0</v>
      </c>
      <c r="AN224" s="56" t="n">
        <f aca="false">MIN(AD224,MAX(0,N(Debts!$E$9)))</f>
        <v>0</v>
      </c>
      <c r="AO224" s="56" t="n">
        <f aca="false">MIN(AE224,MAX(0,N(Debts!$E$10)))</f>
        <v>0</v>
      </c>
      <c r="AP224" s="56" t="n">
        <f aca="false">MIN(AF224,MAX(0,N(Debts!$E$11)))</f>
        <v>0</v>
      </c>
      <c r="AQ224" s="56" t="n">
        <f aca="false">MIN(AG224,MAX(0,N(Debts!$E$12)))</f>
        <v>0</v>
      </c>
      <c r="AR224" s="56" t="n">
        <f aca="false">MIN(AH224,MAX(0,N(Debts!$E$13)))</f>
        <v>0</v>
      </c>
      <c r="AS224" s="56" t="n">
        <f aca="false">MIN(AI224,MAX(0,N(Debts!$E$14)))</f>
        <v>0</v>
      </c>
    </row>
    <row r="225" customFormat="false" ht="15" hidden="false" customHeight="false" outlineLevel="0" collapsed="false">
      <c r="A225" s="53" t="n">
        <v>221</v>
      </c>
      <c r="B225" s="54" t="n">
        <f aca="false">EDATE('Start Here'!$B$8,220)</f>
        <v>53022</v>
      </c>
      <c r="C225" s="42" t="n">
        <f aca="false">SUM(F225:O225)</f>
        <v>0</v>
      </c>
      <c r="D225" s="42" t="n">
        <f aca="false">ROUND(SUM($Z225:$AI225)-SUM(P224:Y224),2)</f>
        <v>0</v>
      </c>
      <c r="E225" s="55" t="n">
        <f aca="false">SUM(P225:Y225)</f>
        <v>0</v>
      </c>
      <c r="F225" s="42" t="n">
        <f aca="false">AJ225+MIN(Z225-AJ225,MAX(0,'Start Here'!$B$10-SUM($AJ225:$AS225)-SUMPRODUCT(($Z$3:$AI$3&lt;Z$3)*($Z225:$AI225-$AJ225:$AS225))))</f>
        <v>0</v>
      </c>
      <c r="G225" s="42" t="n">
        <f aca="false">AK225+MIN(AA225-AK225,MAX(0,'Start Here'!$B$10-SUM($AJ225:$AS225)-SUMPRODUCT(($Z$3:$AI$3&lt;AA$3)*($Z225:$AI225-$AJ225:$AS225))))</f>
        <v>0</v>
      </c>
      <c r="H225" s="42" t="n">
        <f aca="false">AL225+MIN(AB225-AL225,MAX(0,'Start Here'!$B$10-SUM($AJ225:$AS225)-SUMPRODUCT(($Z$3:$AI$3&lt;AB$3)*($Z225:$AI225-$AJ225:$AS225))))</f>
        <v>0</v>
      </c>
      <c r="I225" s="42" t="n">
        <f aca="false">AM225+MIN(AC225-AM225,MAX(0,'Start Here'!$B$10-SUM($AJ225:$AS225)-SUMPRODUCT(($Z$3:$AI$3&lt;AC$3)*($Z225:$AI225-$AJ225:$AS225))))</f>
        <v>0</v>
      </c>
      <c r="J225" s="42" t="n">
        <f aca="false">AN225+MIN(AD225-AN225,MAX(0,'Start Here'!$B$10-SUM($AJ225:$AS225)-SUMPRODUCT(($Z$3:$AI$3&lt;AD$3)*($Z225:$AI225-$AJ225:$AS225))))</f>
        <v>0</v>
      </c>
      <c r="K225" s="42" t="n">
        <f aca="false">AO225+MIN(AE225-AO225,MAX(0,'Start Here'!$B$10-SUM($AJ225:$AS225)-SUMPRODUCT(($Z$3:$AI$3&lt;AE$3)*($Z225:$AI225-$AJ225:$AS225))))</f>
        <v>0</v>
      </c>
      <c r="L225" s="42" t="n">
        <f aca="false">AP225+MIN(AF225-AP225,MAX(0,'Start Here'!$B$10-SUM($AJ225:$AS225)-SUMPRODUCT(($Z$3:$AI$3&lt;AF$3)*($Z225:$AI225-$AJ225:$AS225))))</f>
        <v>0</v>
      </c>
      <c r="M225" s="42" t="n">
        <f aca="false">AQ225+MIN(AG225-AQ225,MAX(0,'Start Here'!$B$10-SUM($AJ225:$AS225)-SUMPRODUCT(($Z$3:$AI$3&lt;AG$3)*($Z225:$AI225-$AJ225:$AS225))))</f>
        <v>0</v>
      </c>
      <c r="N225" s="42" t="n">
        <f aca="false">AR225+MIN(AH225-AR225,MAX(0,'Start Here'!$B$10-SUM($AJ225:$AS225)-SUMPRODUCT(($Z$3:$AI$3&lt;AH$3)*($Z225:$AI225-$AJ225:$AS225))))</f>
        <v>0</v>
      </c>
      <c r="O225" s="42" t="n">
        <f aca="false">AS225+MIN(AI225-AS225,MAX(0,'Start Here'!$B$10-SUM($AJ225:$AS225)-SUMPRODUCT(($Z$3:$AI$3&lt;AI$3)*($Z225:$AI225-$AJ225:$AS225))))</f>
        <v>0</v>
      </c>
      <c r="P225" s="42" t="n">
        <f aca="false">ROUND(Z225-F225,2)</f>
        <v>0</v>
      </c>
      <c r="Q225" s="42" t="n">
        <f aca="false">ROUND(AA225-G225,2)</f>
        <v>0</v>
      </c>
      <c r="R225" s="42" t="n">
        <f aca="false">ROUND(AB225-H225,2)</f>
        <v>0</v>
      </c>
      <c r="S225" s="42" t="n">
        <f aca="false">ROUND(AC225-I225,2)</f>
        <v>0</v>
      </c>
      <c r="T225" s="42" t="n">
        <f aca="false">ROUND(AD225-J225,2)</f>
        <v>0</v>
      </c>
      <c r="U225" s="42" t="n">
        <f aca="false">ROUND(AE225-K225,2)</f>
        <v>0</v>
      </c>
      <c r="V225" s="42" t="n">
        <f aca="false">ROUND(AF225-L225,2)</f>
        <v>0</v>
      </c>
      <c r="W225" s="42" t="n">
        <f aca="false">ROUND(AG225-M225,2)</f>
        <v>0</v>
      </c>
      <c r="X225" s="42" t="n">
        <f aca="false">ROUND(AH225-N225,2)</f>
        <v>0</v>
      </c>
      <c r="Y225" s="42" t="n">
        <f aca="false">ROUND(AI225-O225,2)</f>
        <v>0</v>
      </c>
      <c r="Z225" s="56" t="n">
        <f aca="false">ROUND(P224*(1+N(Debts!$D$5)/12),2)</f>
        <v>0</v>
      </c>
      <c r="AA225" s="56" t="n">
        <f aca="false">ROUND(Q224*(1+N(Debts!$D$6)/12),2)</f>
        <v>0</v>
      </c>
      <c r="AB225" s="56" t="n">
        <f aca="false">ROUND(R224*(1+N(Debts!$D$7)/12),2)</f>
        <v>0</v>
      </c>
      <c r="AC225" s="56" t="n">
        <f aca="false">ROUND(S224*(1+N(Debts!$D$8)/12),2)</f>
        <v>0</v>
      </c>
      <c r="AD225" s="56" t="n">
        <f aca="false">ROUND(T224*(1+N(Debts!$D$9)/12),2)</f>
        <v>0</v>
      </c>
      <c r="AE225" s="56" t="n">
        <f aca="false">ROUND(U224*(1+N(Debts!$D$10)/12),2)</f>
        <v>0</v>
      </c>
      <c r="AF225" s="56" t="n">
        <f aca="false">ROUND(V224*(1+N(Debts!$D$11)/12),2)</f>
        <v>0</v>
      </c>
      <c r="AG225" s="56" t="n">
        <f aca="false">ROUND(W224*(1+N(Debts!$D$12)/12),2)</f>
        <v>0</v>
      </c>
      <c r="AH225" s="56" t="n">
        <f aca="false">ROUND(X224*(1+N(Debts!$D$13)/12),2)</f>
        <v>0</v>
      </c>
      <c r="AI225" s="56" t="n">
        <f aca="false">ROUND(Y224*(1+N(Debts!$D$14)/12),2)</f>
        <v>0</v>
      </c>
      <c r="AJ225" s="56" t="n">
        <f aca="false">MIN(Z225,MAX(0,N(Debts!$E$5)))</f>
        <v>0</v>
      </c>
      <c r="AK225" s="56" t="n">
        <f aca="false">MIN(AA225,MAX(0,N(Debts!$E$6)))</f>
        <v>0</v>
      </c>
      <c r="AL225" s="56" t="n">
        <f aca="false">MIN(AB225,MAX(0,N(Debts!$E$7)))</f>
        <v>0</v>
      </c>
      <c r="AM225" s="56" t="n">
        <f aca="false">MIN(AC225,MAX(0,N(Debts!$E$8)))</f>
        <v>0</v>
      </c>
      <c r="AN225" s="56" t="n">
        <f aca="false">MIN(AD225,MAX(0,N(Debts!$E$9)))</f>
        <v>0</v>
      </c>
      <c r="AO225" s="56" t="n">
        <f aca="false">MIN(AE225,MAX(0,N(Debts!$E$10)))</f>
        <v>0</v>
      </c>
      <c r="AP225" s="56" t="n">
        <f aca="false">MIN(AF225,MAX(0,N(Debts!$E$11)))</f>
        <v>0</v>
      </c>
      <c r="AQ225" s="56" t="n">
        <f aca="false">MIN(AG225,MAX(0,N(Debts!$E$12)))</f>
        <v>0</v>
      </c>
      <c r="AR225" s="56" t="n">
        <f aca="false">MIN(AH225,MAX(0,N(Debts!$E$13)))</f>
        <v>0</v>
      </c>
      <c r="AS225" s="56" t="n">
        <f aca="false">MIN(AI225,MAX(0,N(Debts!$E$14)))</f>
        <v>0</v>
      </c>
    </row>
    <row r="226" customFormat="false" ht="15" hidden="false" customHeight="false" outlineLevel="0" collapsed="false">
      <c r="A226" s="53" t="n">
        <v>222</v>
      </c>
      <c r="B226" s="54" t="n">
        <f aca="false">EDATE('Start Here'!$B$8,221)</f>
        <v>53053</v>
      </c>
      <c r="C226" s="42" t="n">
        <f aca="false">SUM(F226:O226)</f>
        <v>0</v>
      </c>
      <c r="D226" s="42" t="n">
        <f aca="false">ROUND(SUM($Z226:$AI226)-SUM(P225:Y225),2)</f>
        <v>0</v>
      </c>
      <c r="E226" s="55" t="n">
        <f aca="false">SUM(P226:Y226)</f>
        <v>0</v>
      </c>
      <c r="F226" s="42" t="n">
        <f aca="false">AJ226+MIN(Z226-AJ226,MAX(0,'Start Here'!$B$10-SUM($AJ226:$AS226)-SUMPRODUCT(($Z$3:$AI$3&lt;Z$3)*($Z226:$AI226-$AJ226:$AS226))))</f>
        <v>0</v>
      </c>
      <c r="G226" s="42" t="n">
        <f aca="false">AK226+MIN(AA226-AK226,MAX(0,'Start Here'!$B$10-SUM($AJ226:$AS226)-SUMPRODUCT(($Z$3:$AI$3&lt;AA$3)*($Z226:$AI226-$AJ226:$AS226))))</f>
        <v>0</v>
      </c>
      <c r="H226" s="42" t="n">
        <f aca="false">AL226+MIN(AB226-AL226,MAX(0,'Start Here'!$B$10-SUM($AJ226:$AS226)-SUMPRODUCT(($Z$3:$AI$3&lt;AB$3)*($Z226:$AI226-$AJ226:$AS226))))</f>
        <v>0</v>
      </c>
      <c r="I226" s="42" t="n">
        <f aca="false">AM226+MIN(AC226-AM226,MAX(0,'Start Here'!$B$10-SUM($AJ226:$AS226)-SUMPRODUCT(($Z$3:$AI$3&lt;AC$3)*($Z226:$AI226-$AJ226:$AS226))))</f>
        <v>0</v>
      </c>
      <c r="J226" s="42" t="n">
        <f aca="false">AN226+MIN(AD226-AN226,MAX(0,'Start Here'!$B$10-SUM($AJ226:$AS226)-SUMPRODUCT(($Z$3:$AI$3&lt;AD$3)*($Z226:$AI226-$AJ226:$AS226))))</f>
        <v>0</v>
      </c>
      <c r="K226" s="42" t="n">
        <f aca="false">AO226+MIN(AE226-AO226,MAX(0,'Start Here'!$B$10-SUM($AJ226:$AS226)-SUMPRODUCT(($Z$3:$AI$3&lt;AE$3)*($Z226:$AI226-$AJ226:$AS226))))</f>
        <v>0</v>
      </c>
      <c r="L226" s="42" t="n">
        <f aca="false">AP226+MIN(AF226-AP226,MAX(0,'Start Here'!$B$10-SUM($AJ226:$AS226)-SUMPRODUCT(($Z$3:$AI$3&lt;AF$3)*($Z226:$AI226-$AJ226:$AS226))))</f>
        <v>0</v>
      </c>
      <c r="M226" s="42" t="n">
        <f aca="false">AQ226+MIN(AG226-AQ226,MAX(0,'Start Here'!$B$10-SUM($AJ226:$AS226)-SUMPRODUCT(($Z$3:$AI$3&lt;AG$3)*($Z226:$AI226-$AJ226:$AS226))))</f>
        <v>0</v>
      </c>
      <c r="N226" s="42" t="n">
        <f aca="false">AR226+MIN(AH226-AR226,MAX(0,'Start Here'!$B$10-SUM($AJ226:$AS226)-SUMPRODUCT(($Z$3:$AI$3&lt;AH$3)*($Z226:$AI226-$AJ226:$AS226))))</f>
        <v>0</v>
      </c>
      <c r="O226" s="42" t="n">
        <f aca="false">AS226+MIN(AI226-AS226,MAX(0,'Start Here'!$B$10-SUM($AJ226:$AS226)-SUMPRODUCT(($Z$3:$AI$3&lt;AI$3)*($Z226:$AI226-$AJ226:$AS226))))</f>
        <v>0</v>
      </c>
      <c r="P226" s="42" t="n">
        <f aca="false">ROUND(Z226-F226,2)</f>
        <v>0</v>
      </c>
      <c r="Q226" s="42" t="n">
        <f aca="false">ROUND(AA226-G226,2)</f>
        <v>0</v>
      </c>
      <c r="R226" s="42" t="n">
        <f aca="false">ROUND(AB226-H226,2)</f>
        <v>0</v>
      </c>
      <c r="S226" s="42" t="n">
        <f aca="false">ROUND(AC226-I226,2)</f>
        <v>0</v>
      </c>
      <c r="T226" s="42" t="n">
        <f aca="false">ROUND(AD226-J226,2)</f>
        <v>0</v>
      </c>
      <c r="U226" s="42" t="n">
        <f aca="false">ROUND(AE226-K226,2)</f>
        <v>0</v>
      </c>
      <c r="V226" s="42" t="n">
        <f aca="false">ROUND(AF226-L226,2)</f>
        <v>0</v>
      </c>
      <c r="W226" s="42" t="n">
        <f aca="false">ROUND(AG226-M226,2)</f>
        <v>0</v>
      </c>
      <c r="X226" s="42" t="n">
        <f aca="false">ROUND(AH226-N226,2)</f>
        <v>0</v>
      </c>
      <c r="Y226" s="42" t="n">
        <f aca="false">ROUND(AI226-O226,2)</f>
        <v>0</v>
      </c>
      <c r="Z226" s="56" t="n">
        <f aca="false">ROUND(P225*(1+N(Debts!$D$5)/12),2)</f>
        <v>0</v>
      </c>
      <c r="AA226" s="56" t="n">
        <f aca="false">ROUND(Q225*(1+N(Debts!$D$6)/12),2)</f>
        <v>0</v>
      </c>
      <c r="AB226" s="56" t="n">
        <f aca="false">ROUND(R225*(1+N(Debts!$D$7)/12),2)</f>
        <v>0</v>
      </c>
      <c r="AC226" s="56" t="n">
        <f aca="false">ROUND(S225*(1+N(Debts!$D$8)/12),2)</f>
        <v>0</v>
      </c>
      <c r="AD226" s="56" t="n">
        <f aca="false">ROUND(T225*(1+N(Debts!$D$9)/12),2)</f>
        <v>0</v>
      </c>
      <c r="AE226" s="56" t="n">
        <f aca="false">ROUND(U225*(1+N(Debts!$D$10)/12),2)</f>
        <v>0</v>
      </c>
      <c r="AF226" s="56" t="n">
        <f aca="false">ROUND(V225*(1+N(Debts!$D$11)/12),2)</f>
        <v>0</v>
      </c>
      <c r="AG226" s="56" t="n">
        <f aca="false">ROUND(W225*(1+N(Debts!$D$12)/12),2)</f>
        <v>0</v>
      </c>
      <c r="AH226" s="56" t="n">
        <f aca="false">ROUND(X225*(1+N(Debts!$D$13)/12),2)</f>
        <v>0</v>
      </c>
      <c r="AI226" s="56" t="n">
        <f aca="false">ROUND(Y225*(1+N(Debts!$D$14)/12),2)</f>
        <v>0</v>
      </c>
      <c r="AJ226" s="56" t="n">
        <f aca="false">MIN(Z226,MAX(0,N(Debts!$E$5)))</f>
        <v>0</v>
      </c>
      <c r="AK226" s="56" t="n">
        <f aca="false">MIN(AA226,MAX(0,N(Debts!$E$6)))</f>
        <v>0</v>
      </c>
      <c r="AL226" s="56" t="n">
        <f aca="false">MIN(AB226,MAX(0,N(Debts!$E$7)))</f>
        <v>0</v>
      </c>
      <c r="AM226" s="56" t="n">
        <f aca="false">MIN(AC226,MAX(0,N(Debts!$E$8)))</f>
        <v>0</v>
      </c>
      <c r="AN226" s="56" t="n">
        <f aca="false">MIN(AD226,MAX(0,N(Debts!$E$9)))</f>
        <v>0</v>
      </c>
      <c r="AO226" s="56" t="n">
        <f aca="false">MIN(AE226,MAX(0,N(Debts!$E$10)))</f>
        <v>0</v>
      </c>
      <c r="AP226" s="56" t="n">
        <f aca="false">MIN(AF226,MAX(0,N(Debts!$E$11)))</f>
        <v>0</v>
      </c>
      <c r="AQ226" s="56" t="n">
        <f aca="false">MIN(AG226,MAX(0,N(Debts!$E$12)))</f>
        <v>0</v>
      </c>
      <c r="AR226" s="56" t="n">
        <f aca="false">MIN(AH226,MAX(0,N(Debts!$E$13)))</f>
        <v>0</v>
      </c>
      <c r="AS226" s="56" t="n">
        <f aca="false">MIN(AI226,MAX(0,N(Debts!$E$14)))</f>
        <v>0</v>
      </c>
    </row>
    <row r="227" customFormat="false" ht="15" hidden="false" customHeight="false" outlineLevel="0" collapsed="false">
      <c r="A227" s="53" t="n">
        <v>223</v>
      </c>
      <c r="B227" s="54" t="n">
        <f aca="false">EDATE('Start Here'!$B$8,222)</f>
        <v>53083</v>
      </c>
      <c r="C227" s="42" t="n">
        <f aca="false">SUM(F227:O227)</f>
        <v>0</v>
      </c>
      <c r="D227" s="42" t="n">
        <f aca="false">ROUND(SUM($Z227:$AI227)-SUM(P226:Y226),2)</f>
        <v>0</v>
      </c>
      <c r="E227" s="55" t="n">
        <f aca="false">SUM(P227:Y227)</f>
        <v>0</v>
      </c>
      <c r="F227" s="42" t="n">
        <f aca="false">AJ227+MIN(Z227-AJ227,MAX(0,'Start Here'!$B$10-SUM($AJ227:$AS227)-SUMPRODUCT(($Z$3:$AI$3&lt;Z$3)*($Z227:$AI227-$AJ227:$AS227))))</f>
        <v>0</v>
      </c>
      <c r="G227" s="42" t="n">
        <f aca="false">AK227+MIN(AA227-AK227,MAX(0,'Start Here'!$B$10-SUM($AJ227:$AS227)-SUMPRODUCT(($Z$3:$AI$3&lt;AA$3)*($Z227:$AI227-$AJ227:$AS227))))</f>
        <v>0</v>
      </c>
      <c r="H227" s="42" t="n">
        <f aca="false">AL227+MIN(AB227-AL227,MAX(0,'Start Here'!$B$10-SUM($AJ227:$AS227)-SUMPRODUCT(($Z$3:$AI$3&lt;AB$3)*($Z227:$AI227-$AJ227:$AS227))))</f>
        <v>0</v>
      </c>
      <c r="I227" s="42" t="n">
        <f aca="false">AM227+MIN(AC227-AM227,MAX(0,'Start Here'!$B$10-SUM($AJ227:$AS227)-SUMPRODUCT(($Z$3:$AI$3&lt;AC$3)*($Z227:$AI227-$AJ227:$AS227))))</f>
        <v>0</v>
      </c>
      <c r="J227" s="42" t="n">
        <f aca="false">AN227+MIN(AD227-AN227,MAX(0,'Start Here'!$B$10-SUM($AJ227:$AS227)-SUMPRODUCT(($Z$3:$AI$3&lt;AD$3)*($Z227:$AI227-$AJ227:$AS227))))</f>
        <v>0</v>
      </c>
      <c r="K227" s="42" t="n">
        <f aca="false">AO227+MIN(AE227-AO227,MAX(0,'Start Here'!$B$10-SUM($AJ227:$AS227)-SUMPRODUCT(($Z$3:$AI$3&lt;AE$3)*($Z227:$AI227-$AJ227:$AS227))))</f>
        <v>0</v>
      </c>
      <c r="L227" s="42" t="n">
        <f aca="false">AP227+MIN(AF227-AP227,MAX(0,'Start Here'!$B$10-SUM($AJ227:$AS227)-SUMPRODUCT(($Z$3:$AI$3&lt;AF$3)*($Z227:$AI227-$AJ227:$AS227))))</f>
        <v>0</v>
      </c>
      <c r="M227" s="42" t="n">
        <f aca="false">AQ227+MIN(AG227-AQ227,MAX(0,'Start Here'!$B$10-SUM($AJ227:$AS227)-SUMPRODUCT(($Z$3:$AI$3&lt;AG$3)*($Z227:$AI227-$AJ227:$AS227))))</f>
        <v>0</v>
      </c>
      <c r="N227" s="42" t="n">
        <f aca="false">AR227+MIN(AH227-AR227,MAX(0,'Start Here'!$B$10-SUM($AJ227:$AS227)-SUMPRODUCT(($Z$3:$AI$3&lt;AH$3)*($Z227:$AI227-$AJ227:$AS227))))</f>
        <v>0</v>
      </c>
      <c r="O227" s="42" t="n">
        <f aca="false">AS227+MIN(AI227-AS227,MAX(0,'Start Here'!$B$10-SUM($AJ227:$AS227)-SUMPRODUCT(($Z$3:$AI$3&lt;AI$3)*($Z227:$AI227-$AJ227:$AS227))))</f>
        <v>0</v>
      </c>
      <c r="P227" s="42" t="n">
        <f aca="false">ROUND(Z227-F227,2)</f>
        <v>0</v>
      </c>
      <c r="Q227" s="42" t="n">
        <f aca="false">ROUND(AA227-G227,2)</f>
        <v>0</v>
      </c>
      <c r="R227" s="42" t="n">
        <f aca="false">ROUND(AB227-H227,2)</f>
        <v>0</v>
      </c>
      <c r="S227" s="42" t="n">
        <f aca="false">ROUND(AC227-I227,2)</f>
        <v>0</v>
      </c>
      <c r="T227" s="42" t="n">
        <f aca="false">ROUND(AD227-J227,2)</f>
        <v>0</v>
      </c>
      <c r="U227" s="42" t="n">
        <f aca="false">ROUND(AE227-K227,2)</f>
        <v>0</v>
      </c>
      <c r="V227" s="42" t="n">
        <f aca="false">ROUND(AF227-L227,2)</f>
        <v>0</v>
      </c>
      <c r="W227" s="42" t="n">
        <f aca="false">ROUND(AG227-M227,2)</f>
        <v>0</v>
      </c>
      <c r="X227" s="42" t="n">
        <f aca="false">ROUND(AH227-N227,2)</f>
        <v>0</v>
      </c>
      <c r="Y227" s="42" t="n">
        <f aca="false">ROUND(AI227-O227,2)</f>
        <v>0</v>
      </c>
      <c r="Z227" s="56" t="n">
        <f aca="false">ROUND(P226*(1+N(Debts!$D$5)/12),2)</f>
        <v>0</v>
      </c>
      <c r="AA227" s="56" t="n">
        <f aca="false">ROUND(Q226*(1+N(Debts!$D$6)/12),2)</f>
        <v>0</v>
      </c>
      <c r="AB227" s="56" t="n">
        <f aca="false">ROUND(R226*(1+N(Debts!$D$7)/12),2)</f>
        <v>0</v>
      </c>
      <c r="AC227" s="56" t="n">
        <f aca="false">ROUND(S226*(1+N(Debts!$D$8)/12),2)</f>
        <v>0</v>
      </c>
      <c r="AD227" s="56" t="n">
        <f aca="false">ROUND(T226*(1+N(Debts!$D$9)/12),2)</f>
        <v>0</v>
      </c>
      <c r="AE227" s="56" t="n">
        <f aca="false">ROUND(U226*(1+N(Debts!$D$10)/12),2)</f>
        <v>0</v>
      </c>
      <c r="AF227" s="56" t="n">
        <f aca="false">ROUND(V226*(1+N(Debts!$D$11)/12),2)</f>
        <v>0</v>
      </c>
      <c r="AG227" s="56" t="n">
        <f aca="false">ROUND(W226*(1+N(Debts!$D$12)/12),2)</f>
        <v>0</v>
      </c>
      <c r="AH227" s="56" t="n">
        <f aca="false">ROUND(X226*(1+N(Debts!$D$13)/12),2)</f>
        <v>0</v>
      </c>
      <c r="AI227" s="56" t="n">
        <f aca="false">ROUND(Y226*(1+N(Debts!$D$14)/12),2)</f>
        <v>0</v>
      </c>
      <c r="AJ227" s="56" t="n">
        <f aca="false">MIN(Z227,MAX(0,N(Debts!$E$5)))</f>
        <v>0</v>
      </c>
      <c r="AK227" s="56" t="n">
        <f aca="false">MIN(AA227,MAX(0,N(Debts!$E$6)))</f>
        <v>0</v>
      </c>
      <c r="AL227" s="56" t="n">
        <f aca="false">MIN(AB227,MAX(0,N(Debts!$E$7)))</f>
        <v>0</v>
      </c>
      <c r="AM227" s="56" t="n">
        <f aca="false">MIN(AC227,MAX(0,N(Debts!$E$8)))</f>
        <v>0</v>
      </c>
      <c r="AN227" s="56" t="n">
        <f aca="false">MIN(AD227,MAX(0,N(Debts!$E$9)))</f>
        <v>0</v>
      </c>
      <c r="AO227" s="56" t="n">
        <f aca="false">MIN(AE227,MAX(0,N(Debts!$E$10)))</f>
        <v>0</v>
      </c>
      <c r="AP227" s="56" t="n">
        <f aca="false">MIN(AF227,MAX(0,N(Debts!$E$11)))</f>
        <v>0</v>
      </c>
      <c r="AQ227" s="56" t="n">
        <f aca="false">MIN(AG227,MAX(0,N(Debts!$E$12)))</f>
        <v>0</v>
      </c>
      <c r="AR227" s="56" t="n">
        <f aca="false">MIN(AH227,MAX(0,N(Debts!$E$13)))</f>
        <v>0</v>
      </c>
      <c r="AS227" s="56" t="n">
        <f aca="false">MIN(AI227,MAX(0,N(Debts!$E$14)))</f>
        <v>0</v>
      </c>
    </row>
    <row r="228" customFormat="false" ht="15" hidden="false" customHeight="false" outlineLevel="0" collapsed="false">
      <c r="A228" s="53" t="n">
        <v>224</v>
      </c>
      <c r="B228" s="54" t="n">
        <f aca="false">EDATE('Start Here'!$B$8,223)</f>
        <v>53114</v>
      </c>
      <c r="C228" s="42" t="n">
        <f aca="false">SUM(F228:O228)</f>
        <v>0</v>
      </c>
      <c r="D228" s="42" t="n">
        <f aca="false">ROUND(SUM($Z228:$AI228)-SUM(P227:Y227),2)</f>
        <v>0</v>
      </c>
      <c r="E228" s="55" t="n">
        <f aca="false">SUM(P228:Y228)</f>
        <v>0</v>
      </c>
      <c r="F228" s="42" t="n">
        <f aca="false">AJ228+MIN(Z228-AJ228,MAX(0,'Start Here'!$B$10-SUM($AJ228:$AS228)-SUMPRODUCT(($Z$3:$AI$3&lt;Z$3)*($Z228:$AI228-$AJ228:$AS228))))</f>
        <v>0</v>
      </c>
      <c r="G228" s="42" t="n">
        <f aca="false">AK228+MIN(AA228-AK228,MAX(0,'Start Here'!$B$10-SUM($AJ228:$AS228)-SUMPRODUCT(($Z$3:$AI$3&lt;AA$3)*($Z228:$AI228-$AJ228:$AS228))))</f>
        <v>0</v>
      </c>
      <c r="H228" s="42" t="n">
        <f aca="false">AL228+MIN(AB228-AL228,MAX(0,'Start Here'!$B$10-SUM($AJ228:$AS228)-SUMPRODUCT(($Z$3:$AI$3&lt;AB$3)*($Z228:$AI228-$AJ228:$AS228))))</f>
        <v>0</v>
      </c>
      <c r="I228" s="42" t="n">
        <f aca="false">AM228+MIN(AC228-AM228,MAX(0,'Start Here'!$B$10-SUM($AJ228:$AS228)-SUMPRODUCT(($Z$3:$AI$3&lt;AC$3)*($Z228:$AI228-$AJ228:$AS228))))</f>
        <v>0</v>
      </c>
      <c r="J228" s="42" t="n">
        <f aca="false">AN228+MIN(AD228-AN228,MAX(0,'Start Here'!$B$10-SUM($AJ228:$AS228)-SUMPRODUCT(($Z$3:$AI$3&lt;AD$3)*($Z228:$AI228-$AJ228:$AS228))))</f>
        <v>0</v>
      </c>
      <c r="K228" s="42" t="n">
        <f aca="false">AO228+MIN(AE228-AO228,MAX(0,'Start Here'!$B$10-SUM($AJ228:$AS228)-SUMPRODUCT(($Z$3:$AI$3&lt;AE$3)*($Z228:$AI228-$AJ228:$AS228))))</f>
        <v>0</v>
      </c>
      <c r="L228" s="42" t="n">
        <f aca="false">AP228+MIN(AF228-AP228,MAX(0,'Start Here'!$B$10-SUM($AJ228:$AS228)-SUMPRODUCT(($Z$3:$AI$3&lt;AF$3)*($Z228:$AI228-$AJ228:$AS228))))</f>
        <v>0</v>
      </c>
      <c r="M228" s="42" t="n">
        <f aca="false">AQ228+MIN(AG228-AQ228,MAX(0,'Start Here'!$B$10-SUM($AJ228:$AS228)-SUMPRODUCT(($Z$3:$AI$3&lt;AG$3)*($Z228:$AI228-$AJ228:$AS228))))</f>
        <v>0</v>
      </c>
      <c r="N228" s="42" t="n">
        <f aca="false">AR228+MIN(AH228-AR228,MAX(0,'Start Here'!$B$10-SUM($AJ228:$AS228)-SUMPRODUCT(($Z$3:$AI$3&lt;AH$3)*($Z228:$AI228-$AJ228:$AS228))))</f>
        <v>0</v>
      </c>
      <c r="O228" s="42" t="n">
        <f aca="false">AS228+MIN(AI228-AS228,MAX(0,'Start Here'!$B$10-SUM($AJ228:$AS228)-SUMPRODUCT(($Z$3:$AI$3&lt;AI$3)*($Z228:$AI228-$AJ228:$AS228))))</f>
        <v>0</v>
      </c>
      <c r="P228" s="42" t="n">
        <f aca="false">ROUND(Z228-F228,2)</f>
        <v>0</v>
      </c>
      <c r="Q228" s="42" t="n">
        <f aca="false">ROUND(AA228-G228,2)</f>
        <v>0</v>
      </c>
      <c r="R228" s="42" t="n">
        <f aca="false">ROUND(AB228-H228,2)</f>
        <v>0</v>
      </c>
      <c r="S228" s="42" t="n">
        <f aca="false">ROUND(AC228-I228,2)</f>
        <v>0</v>
      </c>
      <c r="T228" s="42" t="n">
        <f aca="false">ROUND(AD228-J228,2)</f>
        <v>0</v>
      </c>
      <c r="U228" s="42" t="n">
        <f aca="false">ROUND(AE228-K228,2)</f>
        <v>0</v>
      </c>
      <c r="V228" s="42" t="n">
        <f aca="false">ROUND(AF228-L228,2)</f>
        <v>0</v>
      </c>
      <c r="W228" s="42" t="n">
        <f aca="false">ROUND(AG228-M228,2)</f>
        <v>0</v>
      </c>
      <c r="X228" s="42" t="n">
        <f aca="false">ROUND(AH228-N228,2)</f>
        <v>0</v>
      </c>
      <c r="Y228" s="42" t="n">
        <f aca="false">ROUND(AI228-O228,2)</f>
        <v>0</v>
      </c>
      <c r="Z228" s="56" t="n">
        <f aca="false">ROUND(P227*(1+N(Debts!$D$5)/12),2)</f>
        <v>0</v>
      </c>
      <c r="AA228" s="56" t="n">
        <f aca="false">ROUND(Q227*(1+N(Debts!$D$6)/12),2)</f>
        <v>0</v>
      </c>
      <c r="AB228" s="56" t="n">
        <f aca="false">ROUND(R227*(1+N(Debts!$D$7)/12),2)</f>
        <v>0</v>
      </c>
      <c r="AC228" s="56" t="n">
        <f aca="false">ROUND(S227*(1+N(Debts!$D$8)/12),2)</f>
        <v>0</v>
      </c>
      <c r="AD228" s="56" t="n">
        <f aca="false">ROUND(T227*(1+N(Debts!$D$9)/12),2)</f>
        <v>0</v>
      </c>
      <c r="AE228" s="56" t="n">
        <f aca="false">ROUND(U227*(1+N(Debts!$D$10)/12),2)</f>
        <v>0</v>
      </c>
      <c r="AF228" s="56" t="n">
        <f aca="false">ROUND(V227*(1+N(Debts!$D$11)/12),2)</f>
        <v>0</v>
      </c>
      <c r="AG228" s="56" t="n">
        <f aca="false">ROUND(W227*(1+N(Debts!$D$12)/12),2)</f>
        <v>0</v>
      </c>
      <c r="AH228" s="56" t="n">
        <f aca="false">ROUND(X227*(1+N(Debts!$D$13)/12),2)</f>
        <v>0</v>
      </c>
      <c r="AI228" s="56" t="n">
        <f aca="false">ROUND(Y227*(1+N(Debts!$D$14)/12),2)</f>
        <v>0</v>
      </c>
      <c r="AJ228" s="56" t="n">
        <f aca="false">MIN(Z228,MAX(0,N(Debts!$E$5)))</f>
        <v>0</v>
      </c>
      <c r="AK228" s="56" t="n">
        <f aca="false">MIN(AA228,MAX(0,N(Debts!$E$6)))</f>
        <v>0</v>
      </c>
      <c r="AL228" s="56" t="n">
        <f aca="false">MIN(AB228,MAX(0,N(Debts!$E$7)))</f>
        <v>0</v>
      </c>
      <c r="AM228" s="56" t="n">
        <f aca="false">MIN(AC228,MAX(0,N(Debts!$E$8)))</f>
        <v>0</v>
      </c>
      <c r="AN228" s="56" t="n">
        <f aca="false">MIN(AD228,MAX(0,N(Debts!$E$9)))</f>
        <v>0</v>
      </c>
      <c r="AO228" s="56" t="n">
        <f aca="false">MIN(AE228,MAX(0,N(Debts!$E$10)))</f>
        <v>0</v>
      </c>
      <c r="AP228" s="56" t="n">
        <f aca="false">MIN(AF228,MAX(0,N(Debts!$E$11)))</f>
        <v>0</v>
      </c>
      <c r="AQ228" s="56" t="n">
        <f aca="false">MIN(AG228,MAX(0,N(Debts!$E$12)))</f>
        <v>0</v>
      </c>
      <c r="AR228" s="56" t="n">
        <f aca="false">MIN(AH228,MAX(0,N(Debts!$E$13)))</f>
        <v>0</v>
      </c>
      <c r="AS228" s="56" t="n">
        <f aca="false">MIN(AI228,MAX(0,N(Debts!$E$14)))</f>
        <v>0</v>
      </c>
    </row>
    <row r="229" customFormat="false" ht="15" hidden="false" customHeight="false" outlineLevel="0" collapsed="false">
      <c r="A229" s="53" t="n">
        <v>225</v>
      </c>
      <c r="B229" s="54" t="n">
        <f aca="false">EDATE('Start Here'!$B$8,224)</f>
        <v>53144</v>
      </c>
      <c r="C229" s="42" t="n">
        <f aca="false">SUM(F229:O229)</f>
        <v>0</v>
      </c>
      <c r="D229" s="42" t="n">
        <f aca="false">ROUND(SUM($Z229:$AI229)-SUM(P228:Y228),2)</f>
        <v>0</v>
      </c>
      <c r="E229" s="55" t="n">
        <f aca="false">SUM(P229:Y229)</f>
        <v>0</v>
      </c>
      <c r="F229" s="42" t="n">
        <f aca="false">AJ229+MIN(Z229-AJ229,MAX(0,'Start Here'!$B$10-SUM($AJ229:$AS229)-SUMPRODUCT(($Z$3:$AI$3&lt;Z$3)*($Z229:$AI229-$AJ229:$AS229))))</f>
        <v>0</v>
      </c>
      <c r="G229" s="42" t="n">
        <f aca="false">AK229+MIN(AA229-AK229,MAX(0,'Start Here'!$B$10-SUM($AJ229:$AS229)-SUMPRODUCT(($Z$3:$AI$3&lt;AA$3)*($Z229:$AI229-$AJ229:$AS229))))</f>
        <v>0</v>
      </c>
      <c r="H229" s="42" t="n">
        <f aca="false">AL229+MIN(AB229-AL229,MAX(0,'Start Here'!$B$10-SUM($AJ229:$AS229)-SUMPRODUCT(($Z$3:$AI$3&lt;AB$3)*($Z229:$AI229-$AJ229:$AS229))))</f>
        <v>0</v>
      </c>
      <c r="I229" s="42" t="n">
        <f aca="false">AM229+MIN(AC229-AM229,MAX(0,'Start Here'!$B$10-SUM($AJ229:$AS229)-SUMPRODUCT(($Z$3:$AI$3&lt;AC$3)*($Z229:$AI229-$AJ229:$AS229))))</f>
        <v>0</v>
      </c>
      <c r="J229" s="42" t="n">
        <f aca="false">AN229+MIN(AD229-AN229,MAX(0,'Start Here'!$B$10-SUM($AJ229:$AS229)-SUMPRODUCT(($Z$3:$AI$3&lt;AD$3)*($Z229:$AI229-$AJ229:$AS229))))</f>
        <v>0</v>
      </c>
      <c r="K229" s="42" t="n">
        <f aca="false">AO229+MIN(AE229-AO229,MAX(0,'Start Here'!$B$10-SUM($AJ229:$AS229)-SUMPRODUCT(($Z$3:$AI$3&lt;AE$3)*($Z229:$AI229-$AJ229:$AS229))))</f>
        <v>0</v>
      </c>
      <c r="L229" s="42" t="n">
        <f aca="false">AP229+MIN(AF229-AP229,MAX(0,'Start Here'!$B$10-SUM($AJ229:$AS229)-SUMPRODUCT(($Z$3:$AI$3&lt;AF$3)*($Z229:$AI229-$AJ229:$AS229))))</f>
        <v>0</v>
      </c>
      <c r="M229" s="42" t="n">
        <f aca="false">AQ229+MIN(AG229-AQ229,MAX(0,'Start Here'!$B$10-SUM($AJ229:$AS229)-SUMPRODUCT(($Z$3:$AI$3&lt;AG$3)*($Z229:$AI229-$AJ229:$AS229))))</f>
        <v>0</v>
      </c>
      <c r="N229" s="42" t="n">
        <f aca="false">AR229+MIN(AH229-AR229,MAX(0,'Start Here'!$B$10-SUM($AJ229:$AS229)-SUMPRODUCT(($Z$3:$AI$3&lt;AH$3)*($Z229:$AI229-$AJ229:$AS229))))</f>
        <v>0</v>
      </c>
      <c r="O229" s="42" t="n">
        <f aca="false">AS229+MIN(AI229-AS229,MAX(0,'Start Here'!$B$10-SUM($AJ229:$AS229)-SUMPRODUCT(($Z$3:$AI$3&lt;AI$3)*($Z229:$AI229-$AJ229:$AS229))))</f>
        <v>0</v>
      </c>
      <c r="P229" s="42" t="n">
        <f aca="false">ROUND(Z229-F229,2)</f>
        <v>0</v>
      </c>
      <c r="Q229" s="42" t="n">
        <f aca="false">ROUND(AA229-G229,2)</f>
        <v>0</v>
      </c>
      <c r="R229" s="42" t="n">
        <f aca="false">ROUND(AB229-H229,2)</f>
        <v>0</v>
      </c>
      <c r="S229" s="42" t="n">
        <f aca="false">ROUND(AC229-I229,2)</f>
        <v>0</v>
      </c>
      <c r="T229" s="42" t="n">
        <f aca="false">ROUND(AD229-J229,2)</f>
        <v>0</v>
      </c>
      <c r="U229" s="42" t="n">
        <f aca="false">ROUND(AE229-K229,2)</f>
        <v>0</v>
      </c>
      <c r="V229" s="42" t="n">
        <f aca="false">ROUND(AF229-L229,2)</f>
        <v>0</v>
      </c>
      <c r="W229" s="42" t="n">
        <f aca="false">ROUND(AG229-M229,2)</f>
        <v>0</v>
      </c>
      <c r="X229" s="42" t="n">
        <f aca="false">ROUND(AH229-N229,2)</f>
        <v>0</v>
      </c>
      <c r="Y229" s="42" t="n">
        <f aca="false">ROUND(AI229-O229,2)</f>
        <v>0</v>
      </c>
      <c r="Z229" s="56" t="n">
        <f aca="false">ROUND(P228*(1+N(Debts!$D$5)/12),2)</f>
        <v>0</v>
      </c>
      <c r="AA229" s="56" t="n">
        <f aca="false">ROUND(Q228*(1+N(Debts!$D$6)/12),2)</f>
        <v>0</v>
      </c>
      <c r="AB229" s="56" t="n">
        <f aca="false">ROUND(R228*(1+N(Debts!$D$7)/12),2)</f>
        <v>0</v>
      </c>
      <c r="AC229" s="56" t="n">
        <f aca="false">ROUND(S228*(1+N(Debts!$D$8)/12),2)</f>
        <v>0</v>
      </c>
      <c r="AD229" s="56" t="n">
        <f aca="false">ROUND(T228*(1+N(Debts!$D$9)/12),2)</f>
        <v>0</v>
      </c>
      <c r="AE229" s="56" t="n">
        <f aca="false">ROUND(U228*(1+N(Debts!$D$10)/12),2)</f>
        <v>0</v>
      </c>
      <c r="AF229" s="56" t="n">
        <f aca="false">ROUND(V228*(1+N(Debts!$D$11)/12),2)</f>
        <v>0</v>
      </c>
      <c r="AG229" s="56" t="n">
        <f aca="false">ROUND(W228*(1+N(Debts!$D$12)/12),2)</f>
        <v>0</v>
      </c>
      <c r="AH229" s="56" t="n">
        <f aca="false">ROUND(X228*(1+N(Debts!$D$13)/12),2)</f>
        <v>0</v>
      </c>
      <c r="AI229" s="56" t="n">
        <f aca="false">ROUND(Y228*(1+N(Debts!$D$14)/12),2)</f>
        <v>0</v>
      </c>
      <c r="AJ229" s="56" t="n">
        <f aca="false">MIN(Z229,MAX(0,N(Debts!$E$5)))</f>
        <v>0</v>
      </c>
      <c r="AK229" s="56" t="n">
        <f aca="false">MIN(AA229,MAX(0,N(Debts!$E$6)))</f>
        <v>0</v>
      </c>
      <c r="AL229" s="56" t="n">
        <f aca="false">MIN(AB229,MAX(0,N(Debts!$E$7)))</f>
        <v>0</v>
      </c>
      <c r="AM229" s="56" t="n">
        <f aca="false">MIN(AC229,MAX(0,N(Debts!$E$8)))</f>
        <v>0</v>
      </c>
      <c r="AN229" s="56" t="n">
        <f aca="false">MIN(AD229,MAX(0,N(Debts!$E$9)))</f>
        <v>0</v>
      </c>
      <c r="AO229" s="56" t="n">
        <f aca="false">MIN(AE229,MAX(0,N(Debts!$E$10)))</f>
        <v>0</v>
      </c>
      <c r="AP229" s="56" t="n">
        <f aca="false">MIN(AF229,MAX(0,N(Debts!$E$11)))</f>
        <v>0</v>
      </c>
      <c r="AQ229" s="56" t="n">
        <f aca="false">MIN(AG229,MAX(0,N(Debts!$E$12)))</f>
        <v>0</v>
      </c>
      <c r="AR229" s="56" t="n">
        <f aca="false">MIN(AH229,MAX(0,N(Debts!$E$13)))</f>
        <v>0</v>
      </c>
      <c r="AS229" s="56" t="n">
        <f aca="false">MIN(AI229,MAX(0,N(Debts!$E$14)))</f>
        <v>0</v>
      </c>
    </row>
    <row r="230" customFormat="false" ht="15" hidden="false" customHeight="false" outlineLevel="0" collapsed="false">
      <c r="A230" s="53" t="n">
        <v>226</v>
      </c>
      <c r="B230" s="54" t="n">
        <f aca="false">EDATE('Start Here'!$B$8,225)</f>
        <v>53175</v>
      </c>
      <c r="C230" s="42" t="n">
        <f aca="false">SUM(F230:O230)</f>
        <v>0</v>
      </c>
      <c r="D230" s="42" t="n">
        <f aca="false">ROUND(SUM($Z230:$AI230)-SUM(P229:Y229),2)</f>
        <v>0</v>
      </c>
      <c r="E230" s="55" t="n">
        <f aca="false">SUM(P230:Y230)</f>
        <v>0</v>
      </c>
      <c r="F230" s="42" t="n">
        <f aca="false">AJ230+MIN(Z230-AJ230,MAX(0,'Start Here'!$B$10-SUM($AJ230:$AS230)-SUMPRODUCT(($Z$3:$AI$3&lt;Z$3)*($Z230:$AI230-$AJ230:$AS230))))</f>
        <v>0</v>
      </c>
      <c r="G230" s="42" t="n">
        <f aca="false">AK230+MIN(AA230-AK230,MAX(0,'Start Here'!$B$10-SUM($AJ230:$AS230)-SUMPRODUCT(($Z$3:$AI$3&lt;AA$3)*($Z230:$AI230-$AJ230:$AS230))))</f>
        <v>0</v>
      </c>
      <c r="H230" s="42" t="n">
        <f aca="false">AL230+MIN(AB230-AL230,MAX(0,'Start Here'!$B$10-SUM($AJ230:$AS230)-SUMPRODUCT(($Z$3:$AI$3&lt;AB$3)*($Z230:$AI230-$AJ230:$AS230))))</f>
        <v>0</v>
      </c>
      <c r="I230" s="42" t="n">
        <f aca="false">AM230+MIN(AC230-AM230,MAX(0,'Start Here'!$B$10-SUM($AJ230:$AS230)-SUMPRODUCT(($Z$3:$AI$3&lt;AC$3)*($Z230:$AI230-$AJ230:$AS230))))</f>
        <v>0</v>
      </c>
      <c r="J230" s="42" t="n">
        <f aca="false">AN230+MIN(AD230-AN230,MAX(0,'Start Here'!$B$10-SUM($AJ230:$AS230)-SUMPRODUCT(($Z$3:$AI$3&lt;AD$3)*($Z230:$AI230-$AJ230:$AS230))))</f>
        <v>0</v>
      </c>
      <c r="K230" s="42" t="n">
        <f aca="false">AO230+MIN(AE230-AO230,MAX(0,'Start Here'!$B$10-SUM($AJ230:$AS230)-SUMPRODUCT(($Z$3:$AI$3&lt;AE$3)*($Z230:$AI230-$AJ230:$AS230))))</f>
        <v>0</v>
      </c>
      <c r="L230" s="42" t="n">
        <f aca="false">AP230+MIN(AF230-AP230,MAX(0,'Start Here'!$B$10-SUM($AJ230:$AS230)-SUMPRODUCT(($Z$3:$AI$3&lt;AF$3)*($Z230:$AI230-$AJ230:$AS230))))</f>
        <v>0</v>
      </c>
      <c r="M230" s="42" t="n">
        <f aca="false">AQ230+MIN(AG230-AQ230,MAX(0,'Start Here'!$B$10-SUM($AJ230:$AS230)-SUMPRODUCT(($Z$3:$AI$3&lt;AG$3)*($Z230:$AI230-$AJ230:$AS230))))</f>
        <v>0</v>
      </c>
      <c r="N230" s="42" t="n">
        <f aca="false">AR230+MIN(AH230-AR230,MAX(0,'Start Here'!$B$10-SUM($AJ230:$AS230)-SUMPRODUCT(($Z$3:$AI$3&lt;AH$3)*($Z230:$AI230-$AJ230:$AS230))))</f>
        <v>0</v>
      </c>
      <c r="O230" s="42" t="n">
        <f aca="false">AS230+MIN(AI230-AS230,MAX(0,'Start Here'!$B$10-SUM($AJ230:$AS230)-SUMPRODUCT(($Z$3:$AI$3&lt;AI$3)*($Z230:$AI230-$AJ230:$AS230))))</f>
        <v>0</v>
      </c>
      <c r="P230" s="42" t="n">
        <f aca="false">ROUND(Z230-F230,2)</f>
        <v>0</v>
      </c>
      <c r="Q230" s="42" t="n">
        <f aca="false">ROUND(AA230-G230,2)</f>
        <v>0</v>
      </c>
      <c r="R230" s="42" t="n">
        <f aca="false">ROUND(AB230-H230,2)</f>
        <v>0</v>
      </c>
      <c r="S230" s="42" t="n">
        <f aca="false">ROUND(AC230-I230,2)</f>
        <v>0</v>
      </c>
      <c r="T230" s="42" t="n">
        <f aca="false">ROUND(AD230-J230,2)</f>
        <v>0</v>
      </c>
      <c r="U230" s="42" t="n">
        <f aca="false">ROUND(AE230-K230,2)</f>
        <v>0</v>
      </c>
      <c r="V230" s="42" t="n">
        <f aca="false">ROUND(AF230-L230,2)</f>
        <v>0</v>
      </c>
      <c r="W230" s="42" t="n">
        <f aca="false">ROUND(AG230-M230,2)</f>
        <v>0</v>
      </c>
      <c r="X230" s="42" t="n">
        <f aca="false">ROUND(AH230-N230,2)</f>
        <v>0</v>
      </c>
      <c r="Y230" s="42" t="n">
        <f aca="false">ROUND(AI230-O230,2)</f>
        <v>0</v>
      </c>
      <c r="Z230" s="56" t="n">
        <f aca="false">ROUND(P229*(1+N(Debts!$D$5)/12),2)</f>
        <v>0</v>
      </c>
      <c r="AA230" s="56" t="n">
        <f aca="false">ROUND(Q229*(1+N(Debts!$D$6)/12),2)</f>
        <v>0</v>
      </c>
      <c r="AB230" s="56" t="n">
        <f aca="false">ROUND(R229*(1+N(Debts!$D$7)/12),2)</f>
        <v>0</v>
      </c>
      <c r="AC230" s="56" t="n">
        <f aca="false">ROUND(S229*(1+N(Debts!$D$8)/12),2)</f>
        <v>0</v>
      </c>
      <c r="AD230" s="56" t="n">
        <f aca="false">ROUND(T229*(1+N(Debts!$D$9)/12),2)</f>
        <v>0</v>
      </c>
      <c r="AE230" s="56" t="n">
        <f aca="false">ROUND(U229*(1+N(Debts!$D$10)/12),2)</f>
        <v>0</v>
      </c>
      <c r="AF230" s="56" t="n">
        <f aca="false">ROUND(V229*(1+N(Debts!$D$11)/12),2)</f>
        <v>0</v>
      </c>
      <c r="AG230" s="56" t="n">
        <f aca="false">ROUND(W229*(1+N(Debts!$D$12)/12),2)</f>
        <v>0</v>
      </c>
      <c r="AH230" s="56" t="n">
        <f aca="false">ROUND(X229*(1+N(Debts!$D$13)/12),2)</f>
        <v>0</v>
      </c>
      <c r="AI230" s="56" t="n">
        <f aca="false">ROUND(Y229*(1+N(Debts!$D$14)/12),2)</f>
        <v>0</v>
      </c>
      <c r="AJ230" s="56" t="n">
        <f aca="false">MIN(Z230,MAX(0,N(Debts!$E$5)))</f>
        <v>0</v>
      </c>
      <c r="AK230" s="56" t="n">
        <f aca="false">MIN(AA230,MAX(0,N(Debts!$E$6)))</f>
        <v>0</v>
      </c>
      <c r="AL230" s="56" t="n">
        <f aca="false">MIN(AB230,MAX(0,N(Debts!$E$7)))</f>
        <v>0</v>
      </c>
      <c r="AM230" s="56" t="n">
        <f aca="false">MIN(AC230,MAX(0,N(Debts!$E$8)))</f>
        <v>0</v>
      </c>
      <c r="AN230" s="56" t="n">
        <f aca="false">MIN(AD230,MAX(0,N(Debts!$E$9)))</f>
        <v>0</v>
      </c>
      <c r="AO230" s="56" t="n">
        <f aca="false">MIN(AE230,MAX(0,N(Debts!$E$10)))</f>
        <v>0</v>
      </c>
      <c r="AP230" s="56" t="n">
        <f aca="false">MIN(AF230,MAX(0,N(Debts!$E$11)))</f>
        <v>0</v>
      </c>
      <c r="AQ230" s="56" t="n">
        <f aca="false">MIN(AG230,MAX(0,N(Debts!$E$12)))</f>
        <v>0</v>
      </c>
      <c r="AR230" s="56" t="n">
        <f aca="false">MIN(AH230,MAX(0,N(Debts!$E$13)))</f>
        <v>0</v>
      </c>
      <c r="AS230" s="56" t="n">
        <f aca="false">MIN(AI230,MAX(0,N(Debts!$E$14)))</f>
        <v>0</v>
      </c>
    </row>
    <row r="231" customFormat="false" ht="15" hidden="false" customHeight="false" outlineLevel="0" collapsed="false">
      <c r="A231" s="53" t="n">
        <v>227</v>
      </c>
      <c r="B231" s="54" t="n">
        <f aca="false">EDATE('Start Here'!$B$8,226)</f>
        <v>53206</v>
      </c>
      <c r="C231" s="42" t="n">
        <f aca="false">SUM(F231:O231)</f>
        <v>0</v>
      </c>
      <c r="D231" s="42" t="n">
        <f aca="false">ROUND(SUM($Z231:$AI231)-SUM(P230:Y230),2)</f>
        <v>0</v>
      </c>
      <c r="E231" s="55" t="n">
        <f aca="false">SUM(P231:Y231)</f>
        <v>0</v>
      </c>
      <c r="F231" s="42" t="n">
        <f aca="false">AJ231+MIN(Z231-AJ231,MAX(0,'Start Here'!$B$10-SUM($AJ231:$AS231)-SUMPRODUCT(($Z$3:$AI$3&lt;Z$3)*($Z231:$AI231-$AJ231:$AS231))))</f>
        <v>0</v>
      </c>
      <c r="G231" s="42" t="n">
        <f aca="false">AK231+MIN(AA231-AK231,MAX(0,'Start Here'!$B$10-SUM($AJ231:$AS231)-SUMPRODUCT(($Z$3:$AI$3&lt;AA$3)*($Z231:$AI231-$AJ231:$AS231))))</f>
        <v>0</v>
      </c>
      <c r="H231" s="42" t="n">
        <f aca="false">AL231+MIN(AB231-AL231,MAX(0,'Start Here'!$B$10-SUM($AJ231:$AS231)-SUMPRODUCT(($Z$3:$AI$3&lt;AB$3)*($Z231:$AI231-$AJ231:$AS231))))</f>
        <v>0</v>
      </c>
      <c r="I231" s="42" t="n">
        <f aca="false">AM231+MIN(AC231-AM231,MAX(0,'Start Here'!$B$10-SUM($AJ231:$AS231)-SUMPRODUCT(($Z$3:$AI$3&lt;AC$3)*($Z231:$AI231-$AJ231:$AS231))))</f>
        <v>0</v>
      </c>
      <c r="J231" s="42" t="n">
        <f aca="false">AN231+MIN(AD231-AN231,MAX(0,'Start Here'!$B$10-SUM($AJ231:$AS231)-SUMPRODUCT(($Z$3:$AI$3&lt;AD$3)*($Z231:$AI231-$AJ231:$AS231))))</f>
        <v>0</v>
      </c>
      <c r="K231" s="42" t="n">
        <f aca="false">AO231+MIN(AE231-AO231,MAX(0,'Start Here'!$B$10-SUM($AJ231:$AS231)-SUMPRODUCT(($Z$3:$AI$3&lt;AE$3)*($Z231:$AI231-$AJ231:$AS231))))</f>
        <v>0</v>
      </c>
      <c r="L231" s="42" t="n">
        <f aca="false">AP231+MIN(AF231-AP231,MAX(0,'Start Here'!$B$10-SUM($AJ231:$AS231)-SUMPRODUCT(($Z$3:$AI$3&lt;AF$3)*($Z231:$AI231-$AJ231:$AS231))))</f>
        <v>0</v>
      </c>
      <c r="M231" s="42" t="n">
        <f aca="false">AQ231+MIN(AG231-AQ231,MAX(0,'Start Here'!$B$10-SUM($AJ231:$AS231)-SUMPRODUCT(($Z$3:$AI$3&lt;AG$3)*($Z231:$AI231-$AJ231:$AS231))))</f>
        <v>0</v>
      </c>
      <c r="N231" s="42" t="n">
        <f aca="false">AR231+MIN(AH231-AR231,MAX(0,'Start Here'!$B$10-SUM($AJ231:$AS231)-SUMPRODUCT(($Z$3:$AI$3&lt;AH$3)*($Z231:$AI231-$AJ231:$AS231))))</f>
        <v>0</v>
      </c>
      <c r="O231" s="42" t="n">
        <f aca="false">AS231+MIN(AI231-AS231,MAX(0,'Start Here'!$B$10-SUM($AJ231:$AS231)-SUMPRODUCT(($Z$3:$AI$3&lt;AI$3)*($Z231:$AI231-$AJ231:$AS231))))</f>
        <v>0</v>
      </c>
      <c r="P231" s="42" t="n">
        <f aca="false">ROUND(Z231-F231,2)</f>
        <v>0</v>
      </c>
      <c r="Q231" s="42" t="n">
        <f aca="false">ROUND(AA231-G231,2)</f>
        <v>0</v>
      </c>
      <c r="R231" s="42" t="n">
        <f aca="false">ROUND(AB231-H231,2)</f>
        <v>0</v>
      </c>
      <c r="S231" s="42" t="n">
        <f aca="false">ROUND(AC231-I231,2)</f>
        <v>0</v>
      </c>
      <c r="T231" s="42" t="n">
        <f aca="false">ROUND(AD231-J231,2)</f>
        <v>0</v>
      </c>
      <c r="U231" s="42" t="n">
        <f aca="false">ROUND(AE231-K231,2)</f>
        <v>0</v>
      </c>
      <c r="V231" s="42" t="n">
        <f aca="false">ROUND(AF231-L231,2)</f>
        <v>0</v>
      </c>
      <c r="W231" s="42" t="n">
        <f aca="false">ROUND(AG231-M231,2)</f>
        <v>0</v>
      </c>
      <c r="X231" s="42" t="n">
        <f aca="false">ROUND(AH231-N231,2)</f>
        <v>0</v>
      </c>
      <c r="Y231" s="42" t="n">
        <f aca="false">ROUND(AI231-O231,2)</f>
        <v>0</v>
      </c>
      <c r="Z231" s="56" t="n">
        <f aca="false">ROUND(P230*(1+N(Debts!$D$5)/12),2)</f>
        <v>0</v>
      </c>
      <c r="AA231" s="56" t="n">
        <f aca="false">ROUND(Q230*(1+N(Debts!$D$6)/12),2)</f>
        <v>0</v>
      </c>
      <c r="AB231" s="56" t="n">
        <f aca="false">ROUND(R230*(1+N(Debts!$D$7)/12),2)</f>
        <v>0</v>
      </c>
      <c r="AC231" s="56" t="n">
        <f aca="false">ROUND(S230*(1+N(Debts!$D$8)/12),2)</f>
        <v>0</v>
      </c>
      <c r="AD231" s="56" t="n">
        <f aca="false">ROUND(T230*(1+N(Debts!$D$9)/12),2)</f>
        <v>0</v>
      </c>
      <c r="AE231" s="56" t="n">
        <f aca="false">ROUND(U230*(1+N(Debts!$D$10)/12),2)</f>
        <v>0</v>
      </c>
      <c r="AF231" s="56" t="n">
        <f aca="false">ROUND(V230*(1+N(Debts!$D$11)/12),2)</f>
        <v>0</v>
      </c>
      <c r="AG231" s="56" t="n">
        <f aca="false">ROUND(W230*(1+N(Debts!$D$12)/12),2)</f>
        <v>0</v>
      </c>
      <c r="AH231" s="56" t="n">
        <f aca="false">ROUND(X230*(1+N(Debts!$D$13)/12),2)</f>
        <v>0</v>
      </c>
      <c r="AI231" s="56" t="n">
        <f aca="false">ROUND(Y230*(1+N(Debts!$D$14)/12),2)</f>
        <v>0</v>
      </c>
      <c r="AJ231" s="56" t="n">
        <f aca="false">MIN(Z231,MAX(0,N(Debts!$E$5)))</f>
        <v>0</v>
      </c>
      <c r="AK231" s="56" t="n">
        <f aca="false">MIN(AA231,MAX(0,N(Debts!$E$6)))</f>
        <v>0</v>
      </c>
      <c r="AL231" s="56" t="n">
        <f aca="false">MIN(AB231,MAX(0,N(Debts!$E$7)))</f>
        <v>0</v>
      </c>
      <c r="AM231" s="56" t="n">
        <f aca="false">MIN(AC231,MAX(0,N(Debts!$E$8)))</f>
        <v>0</v>
      </c>
      <c r="AN231" s="56" t="n">
        <f aca="false">MIN(AD231,MAX(0,N(Debts!$E$9)))</f>
        <v>0</v>
      </c>
      <c r="AO231" s="56" t="n">
        <f aca="false">MIN(AE231,MAX(0,N(Debts!$E$10)))</f>
        <v>0</v>
      </c>
      <c r="AP231" s="56" t="n">
        <f aca="false">MIN(AF231,MAX(0,N(Debts!$E$11)))</f>
        <v>0</v>
      </c>
      <c r="AQ231" s="56" t="n">
        <f aca="false">MIN(AG231,MAX(0,N(Debts!$E$12)))</f>
        <v>0</v>
      </c>
      <c r="AR231" s="56" t="n">
        <f aca="false">MIN(AH231,MAX(0,N(Debts!$E$13)))</f>
        <v>0</v>
      </c>
      <c r="AS231" s="56" t="n">
        <f aca="false">MIN(AI231,MAX(0,N(Debts!$E$14)))</f>
        <v>0</v>
      </c>
    </row>
    <row r="232" customFormat="false" ht="15" hidden="false" customHeight="false" outlineLevel="0" collapsed="false">
      <c r="A232" s="53" t="n">
        <v>228</v>
      </c>
      <c r="B232" s="54" t="n">
        <f aca="false">EDATE('Start Here'!$B$8,227)</f>
        <v>53236</v>
      </c>
      <c r="C232" s="42" t="n">
        <f aca="false">SUM(F232:O232)</f>
        <v>0</v>
      </c>
      <c r="D232" s="42" t="n">
        <f aca="false">ROUND(SUM($Z232:$AI232)-SUM(P231:Y231),2)</f>
        <v>0</v>
      </c>
      <c r="E232" s="55" t="n">
        <f aca="false">SUM(P232:Y232)</f>
        <v>0</v>
      </c>
      <c r="F232" s="42" t="n">
        <f aca="false">AJ232+MIN(Z232-AJ232,MAX(0,'Start Here'!$B$10-SUM($AJ232:$AS232)-SUMPRODUCT(($Z$3:$AI$3&lt;Z$3)*($Z232:$AI232-$AJ232:$AS232))))</f>
        <v>0</v>
      </c>
      <c r="G232" s="42" t="n">
        <f aca="false">AK232+MIN(AA232-AK232,MAX(0,'Start Here'!$B$10-SUM($AJ232:$AS232)-SUMPRODUCT(($Z$3:$AI$3&lt;AA$3)*($Z232:$AI232-$AJ232:$AS232))))</f>
        <v>0</v>
      </c>
      <c r="H232" s="42" t="n">
        <f aca="false">AL232+MIN(AB232-AL232,MAX(0,'Start Here'!$B$10-SUM($AJ232:$AS232)-SUMPRODUCT(($Z$3:$AI$3&lt;AB$3)*($Z232:$AI232-$AJ232:$AS232))))</f>
        <v>0</v>
      </c>
      <c r="I232" s="42" t="n">
        <f aca="false">AM232+MIN(AC232-AM232,MAX(0,'Start Here'!$B$10-SUM($AJ232:$AS232)-SUMPRODUCT(($Z$3:$AI$3&lt;AC$3)*($Z232:$AI232-$AJ232:$AS232))))</f>
        <v>0</v>
      </c>
      <c r="J232" s="42" t="n">
        <f aca="false">AN232+MIN(AD232-AN232,MAX(0,'Start Here'!$B$10-SUM($AJ232:$AS232)-SUMPRODUCT(($Z$3:$AI$3&lt;AD$3)*($Z232:$AI232-$AJ232:$AS232))))</f>
        <v>0</v>
      </c>
      <c r="K232" s="42" t="n">
        <f aca="false">AO232+MIN(AE232-AO232,MAX(0,'Start Here'!$B$10-SUM($AJ232:$AS232)-SUMPRODUCT(($Z$3:$AI$3&lt;AE$3)*($Z232:$AI232-$AJ232:$AS232))))</f>
        <v>0</v>
      </c>
      <c r="L232" s="42" t="n">
        <f aca="false">AP232+MIN(AF232-AP232,MAX(0,'Start Here'!$B$10-SUM($AJ232:$AS232)-SUMPRODUCT(($Z$3:$AI$3&lt;AF$3)*($Z232:$AI232-$AJ232:$AS232))))</f>
        <v>0</v>
      </c>
      <c r="M232" s="42" t="n">
        <f aca="false">AQ232+MIN(AG232-AQ232,MAX(0,'Start Here'!$B$10-SUM($AJ232:$AS232)-SUMPRODUCT(($Z$3:$AI$3&lt;AG$3)*($Z232:$AI232-$AJ232:$AS232))))</f>
        <v>0</v>
      </c>
      <c r="N232" s="42" t="n">
        <f aca="false">AR232+MIN(AH232-AR232,MAX(0,'Start Here'!$B$10-SUM($AJ232:$AS232)-SUMPRODUCT(($Z$3:$AI$3&lt;AH$3)*($Z232:$AI232-$AJ232:$AS232))))</f>
        <v>0</v>
      </c>
      <c r="O232" s="42" t="n">
        <f aca="false">AS232+MIN(AI232-AS232,MAX(0,'Start Here'!$B$10-SUM($AJ232:$AS232)-SUMPRODUCT(($Z$3:$AI$3&lt;AI$3)*($Z232:$AI232-$AJ232:$AS232))))</f>
        <v>0</v>
      </c>
      <c r="P232" s="42" t="n">
        <f aca="false">ROUND(Z232-F232,2)</f>
        <v>0</v>
      </c>
      <c r="Q232" s="42" t="n">
        <f aca="false">ROUND(AA232-G232,2)</f>
        <v>0</v>
      </c>
      <c r="R232" s="42" t="n">
        <f aca="false">ROUND(AB232-H232,2)</f>
        <v>0</v>
      </c>
      <c r="S232" s="42" t="n">
        <f aca="false">ROUND(AC232-I232,2)</f>
        <v>0</v>
      </c>
      <c r="T232" s="42" t="n">
        <f aca="false">ROUND(AD232-J232,2)</f>
        <v>0</v>
      </c>
      <c r="U232" s="42" t="n">
        <f aca="false">ROUND(AE232-K232,2)</f>
        <v>0</v>
      </c>
      <c r="V232" s="42" t="n">
        <f aca="false">ROUND(AF232-L232,2)</f>
        <v>0</v>
      </c>
      <c r="W232" s="42" t="n">
        <f aca="false">ROUND(AG232-M232,2)</f>
        <v>0</v>
      </c>
      <c r="X232" s="42" t="n">
        <f aca="false">ROUND(AH232-N232,2)</f>
        <v>0</v>
      </c>
      <c r="Y232" s="42" t="n">
        <f aca="false">ROUND(AI232-O232,2)</f>
        <v>0</v>
      </c>
      <c r="Z232" s="56" t="n">
        <f aca="false">ROUND(P231*(1+N(Debts!$D$5)/12),2)</f>
        <v>0</v>
      </c>
      <c r="AA232" s="56" t="n">
        <f aca="false">ROUND(Q231*(1+N(Debts!$D$6)/12),2)</f>
        <v>0</v>
      </c>
      <c r="AB232" s="56" t="n">
        <f aca="false">ROUND(R231*(1+N(Debts!$D$7)/12),2)</f>
        <v>0</v>
      </c>
      <c r="AC232" s="56" t="n">
        <f aca="false">ROUND(S231*(1+N(Debts!$D$8)/12),2)</f>
        <v>0</v>
      </c>
      <c r="AD232" s="56" t="n">
        <f aca="false">ROUND(T231*(1+N(Debts!$D$9)/12),2)</f>
        <v>0</v>
      </c>
      <c r="AE232" s="56" t="n">
        <f aca="false">ROUND(U231*(1+N(Debts!$D$10)/12),2)</f>
        <v>0</v>
      </c>
      <c r="AF232" s="56" t="n">
        <f aca="false">ROUND(V231*(1+N(Debts!$D$11)/12),2)</f>
        <v>0</v>
      </c>
      <c r="AG232" s="56" t="n">
        <f aca="false">ROUND(W231*(1+N(Debts!$D$12)/12),2)</f>
        <v>0</v>
      </c>
      <c r="AH232" s="56" t="n">
        <f aca="false">ROUND(X231*(1+N(Debts!$D$13)/12),2)</f>
        <v>0</v>
      </c>
      <c r="AI232" s="56" t="n">
        <f aca="false">ROUND(Y231*(1+N(Debts!$D$14)/12),2)</f>
        <v>0</v>
      </c>
      <c r="AJ232" s="56" t="n">
        <f aca="false">MIN(Z232,MAX(0,N(Debts!$E$5)))</f>
        <v>0</v>
      </c>
      <c r="AK232" s="56" t="n">
        <f aca="false">MIN(AA232,MAX(0,N(Debts!$E$6)))</f>
        <v>0</v>
      </c>
      <c r="AL232" s="56" t="n">
        <f aca="false">MIN(AB232,MAX(0,N(Debts!$E$7)))</f>
        <v>0</v>
      </c>
      <c r="AM232" s="56" t="n">
        <f aca="false">MIN(AC232,MAX(0,N(Debts!$E$8)))</f>
        <v>0</v>
      </c>
      <c r="AN232" s="56" t="n">
        <f aca="false">MIN(AD232,MAX(0,N(Debts!$E$9)))</f>
        <v>0</v>
      </c>
      <c r="AO232" s="56" t="n">
        <f aca="false">MIN(AE232,MAX(0,N(Debts!$E$10)))</f>
        <v>0</v>
      </c>
      <c r="AP232" s="56" t="n">
        <f aca="false">MIN(AF232,MAX(0,N(Debts!$E$11)))</f>
        <v>0</v>
      </c>
      <c r="AQ232" s="56" t="n">
        <f aca="false">MIN(AG232,MAX(0,N(Debts!$E$12)))</f>
        <v>0</v>
      </c>
      <c r="AR232" s="56" t="n">
        <f aca="false">MIN(AH232,MAX(0,N(Debts!$E$13)))</f>
        <v>0</v>
      </c>
      <c r="AS232" s="56" t="n">
        <f aca="false">MIN(AI232,MAX(0,N(Debts!$E$14)))</f>
        <v>0</v>
      </c>
    </row>
    <row r="233" customFormat="false" ht="15" hidden="false" customHeight="false" outlineLevel="0" collapsed="false">
      <c r="A233" s="53" t="n">
        <v>229</v>
      </c>
      <c r="B233" s="54" t="n">
        <f aca="false">EDATE('Start Here'!$B$8,228)</f>
        <v>53267</v>
      </c>
      <c r="C233" s="42" t="n">
        <f aca="false">SUM(F233:O233)</f>
        <v>0</v>
      </c>
      <c r="D233" s="42" t="n">
        <f aca="false">ROUND(SUM($Z233:$AI233)-SUM(P232:Y232),2)</f>
        <v>0</v>
      </c>
      <c r="E233" s="55" t="n">
        <f aca="false">SUM(P233:Y233)</f>
        <v>0</v>
      </c>
      <c r="F233" s="42" t="n">
        <f aca="false">AJ233+MIN(Z233-AJ233,MAX(0,'Start Here'!$B$10-SUM($AJ233:$AS233)-SUMPRODUCT(($Z$3:$AI$3&lt;Z$3)*($Z233:$AI233-$AJ233:$AS233))))</f>
        <v>0</v>
      </c>
      <c r="G233" s="42" t="n">
        <f aca="false">AK233+MIN(AA233-AK233,MAX(0,'Start Here'!$B$10-SUM($AJ233:$AS233)-SUMPRODUCT(($Z$3:$AI$3&lt;AA$3)*($Z233:$AI233-$AJ233:$AS233))))</f>
        <v>0</v>
      </c>
      <c r="H233" s="42" t="n">
        <f aca="false">AL233+MIN(AB233-AL233,MAX(0,'Start Here'!$B$10-SUM($AJ233:$AS233)-SUMPRODUCT(($Z$3:$AI$3&lt;AB$3)*($Z233:$AI233-$AJ233:$AS233))))</f>
        <v>0</v>
      </c>
      <c r="I233" s="42" t="n">
        <f aca="false">AM233+MIN(AC233-AM233,MAX(0,'Start Here'!$B$10-SUM($AJ233:$AS233)-SUMPRODUCT(($Z$3:$AI$3&lt;AC$3)*($Z233:$AI233-$AJ233:$AS233))))</f>
        <v>0</v>
      </c>
      <c r="J233" s="42" t="n">
        <f aca="false">AN233+MIN(AD233-AN233,MAX(0,'Start Here'!$B$10-SUM($AJ233:$AS233)-SUMPRODUCT(($Z$3:$AI$3&lt;AD$3)*($Z233:$AI233-$AJ233:$AS233))))</f>
        <v>0</v>
      </c>
      <c r="K233" s="42" t="n">
        <f aca="false">AO233+MIN(AE233-AO233,MAX(0,'Start Here'!$B$10-SUM($AJ233:$AS233)-SUMPRODUCT(($Z$3:$AI$3&lt;AE$3)*($Z233:$AI233-$AJ233:$AS233))))</f>
        <v>0</v>
      </c>
      <c r="L233" s="42" t="n">
        <f aca="false">AP233+MIN(AF233-AP233,MAX(0,'Start Here'!$B$10-SUM($AJ233:$AS233)-SUMPRODUCT(($Z$3:$AI$3&lt;AF$3)*($Z233:$AI233-$AJ233:$AS233))))</f>
        <v>0</v>
      </c>
      <c r="M233" s="42" t="n">
        <f aca="false">AQ233+MIN(AG233-AQ233,MAX(0,'Start Here'!$B$10-SUM($AJ233:$AS233)-SUMPRODUCT(($Z$3:$AI$3&lt;AG$3)*($Z233:$AI233-$AJ233:$AS233))))</f>
        <v>0</v>
      </c>
      <c r="N233" s="42" t="n">
        <f aca="false">AR233+MIN(AH233-AR233,MAX(0,'Start Here'!$B$10-SUM($AJ233:$AS233)-SUMPRODUCT(($Z$3:$AI$3&lt;AH$3)*($Z233:$AI233-$AJ233:$AS233))))</f>
        <v>0</v>
      </c>
      <c r="O233" s="42" t="n">
        <f aca="false">AS233+MIN(AI233-AS233,MAX(0,'Start Here'!$B$10-SUM($AJ233:$AS233)-SUMPRODUCT(($Z$3:$AI$3&lt;AI$3)*($Z233:$AI233-$AJ233:$AS233))))</f>
        <v>0</v>
      </c>
      <c r="P233" s="42" t="n">
        <f aca="false">ROUND(Z233-F233,2)</f>
        <v>0</v>
      </c>
      <c r="Q233" s="42" t="n">
        <f aca="false">ROUND(AA233-G233,2)</f>
        <v>0</v>
      </c>
      <c r="R233" s="42" t="n">
        <f aca="false">ROUND(AB233-H233,2)</f>
        <v>0</v>
      </c>
      <c r="S233" s="42" t="n">
        <f aca="false">ROUND(AC233-I233,2)</f>
        <v>0</v>
      </c>
      <c r="T233" s="42" t="n">
        <f aca="false">ROUND(AD233-J233,2)</f>
        <v>0</v>
      </c>
      <c r="U233" s="42" t="n">
        <f aca="false">ROUND(AE233-K233,2)</f>
        <v>0</v>
      </c>
      <c r="V233" s="42" t="n">
        <f aca="false">ROUND(AF233-L233,2)</f>
        <v>0</v>
      </c>
      <c r="W233" s="42" t="n">
        <f aca="false">ROUND(AG233-M233,2)</f>
        <v>0</v>
      </c>
      <c r="X233" s="42" t="n">
        <f aca="false">ROUND(AH233-N233,2)</f>
        <v>0</v>
      </c>
      <c r="Y233" s="42" t="n">
        <f aca="false">ROUND(AI233-O233,2)</f>
        <v>0</v>
      </c>
      <c r="Z233" s="56" t="n">
        <f aca="false">ROUND(P232*(1+N(Debts!$D$5)/12),2)</f>
        <v>0</v>
      </c>
      <c r="AA233" s="56" t="n">
        <f aca="false">ROUND(Q232*(1+N(Debts!$D$6)/12),2)</f>
        <v>0</v>
      </c>
      <c r="AB233" s="56" t="n">
        <f aca="false">ROUND(R232*(1+N(Debts!$D$7)/12),2)</f>
        <v>0</v>
      </c>
      <c r="AC233" s="56" t="n">
        <f aca="false">ROUND(S232*(1+N(Debts!$D$8)/12),2)</f>
        <v>0</v>
      </c>
      <c r="AD233" s="56" t="n">
        <f aca="false">ROUND(T232*(1+N(Debts!$D$9)/12),2)</f>
        <v>0</v>
      </c>
      <c r="AE233" s="56" t="n">
        <f aca="false">ROUND(U232*(1+N(Debts!$D$10)/12),2)</f>
        <v>0</v>
      </c>
      <c r="AF233" s="56" t="n">
        <f aca="false">ROUND(V232*(1+N(Debts!$D$11)/12),2)</f>
        <v>0</v>
      </c>
      <c r="AG233" s="56" t="n">
        <f aca="false">ROUND(W232*(1+N(Debts!$D$12)/12),2)</f>
        <v>0</v>
      </c>
      <c r="AH233" s="56" t="n">
        <f aca="false">ROUND(X232*(1+N(Debts!$D$13)/12),2)</f>
        <v>0</v>
      </c>
      <c r="AI233" s="56" t="n">
        <f aca="false">ROUND(Y232*(1+N(Debts!$D$14)/12),2)</f>
        <v>0</v>
      </c>
      <c r="AJ233" s="56" t="n">
        <f aca="false">MIN(Z233,MAX(0,N(Debts!$E$5)))</f>
        <v>0</v>
      </c>
      <c r="AK233" s="56" t="n">
        <f aca="false">MIN(AA233,MAX(0,N(Debts!$E$6)))</f>
        <v>0</v>
      </c>
      <c r="AL233" s="56" t="n">
        <f aca="false">MIN(AB233,MAX(0,N(Debts!$E$7)))</f>
        <v>0</v>
      </c>
      <c r="AM233" s="56" t="n">
        <f aca="false">MIN(AC233,MAX(0,N(Debts!$E$8)))</f>
        <v>0</v>
      </c>
      <c r="AN233" s="56" t="n">
        <f aca="false">MIN(AD233,MAX(0,N(Debts!$E$9)))</f>
        <v>0</v>
      </c>
      <c r="AO233" s="56" t="n">
        <f aca="false">MIN(AE233,MAX(0,N(Debts!$E$10)))</f>
        <v>0</v>
      </c>
      <c r="AP233" s="56" t="n">
        <f aca="false">MIN(AF233,MAX(0,N(Debts!$E$11)))</f>
        <v>0</v>
      </c>
      <c r="AQ233" s="56" t="n">
        <f aca="false">MIN(AG233,MAX(0,N(Debts!$E$12)))</f>
        <v>0</v>
      </c>
      <c r="AR233" s="56" t="n">
        <f aca="false">MIN(AH233,MAX(0,N(Debts!$E$13)))</f>
        <v>0</v>
      </c>
      <c r="AS233" s="56" t="n">
        <f aca="false">MIN(AI233,MAX(0,N(Debts!$E$14)))</f>
        <v>0</v>
      </c>
    </row>
    <row r="234" customFormat="false" ht="15" hidden="false" customHeight="false" outlineLevel="0" collapsed="false">
      <c r="A234" s="53" t="n">
        <v>230</v>
      </c>
      <c r="B234" s="54" t="n">
        <f aca="false">EDATE('Start Here'!$B$8,229)</f>
        <v>53297</v>
      </c>
      <c r="C234" s="42" t="n">
        <f aca="false">SUM(F234:O234)</f>
        <v>0</v>
      </c>
      <c r="D234" s="42" t="n">
        <f aca="false">ROUND(SUM($Z234:$AI234)-SUM(P233:Y233),2)</f>
        <v>0</v>
      </c>
      <c r="E234" s="55" t="n">
        <f aca="false">SUM(P234:Y234)</f>
        <v>0</v>
      </c>
      <c r="F234" s="42" t="n">
        <f aca="false">AJ234+MIN(Z234-AJ234,MAX(0,'Start Here'!$B$10-SUM($AJ234:$AS234)-SUMPRODUCT(($Z$3:$AI$3&lt;Z$3)*($Z234:$AI234-$AJ234:$AS234))))</f>
        <v>0</v>
      </c>
      <c r="G234" s="42" t="n">
        <f aca="false">AK234+MIN(AA234-AK234,MAX(0,'Start Here'!$B$10-SUM($AJ234:$AS234)-SUMPRODUCT(($Z$3:$AI$3&lt;AA$3)*($Z234:$AI234-$AJ234:$AS234))))</f>
        <v>0</v>
      </c>
      <c r="H234" s="42" t="n">
        <f aca="false">AL234+MIN(AB234-AL234,MAX(0,'Start Here'!$B$10-SUM($AJ234:$AS234)-SUMPRODUCT(($Z$3:$AI$3&lt;AB$3)*($Z234:$AI234-$AJ234:$AS234))))</f>
        <v>0</v>
      </c>
      <c r="I234" s="42" t="n">
        <f aca="false">AM234+MIN(AC234-AM234,MAX(0,'Start Here'!$B$10-SUM($AJ234:$AS234)-SUMPRODUCT(($Z$3:$AI$3&lt;AC$3)*($Z234:$AI234-$AJ234:$AS234))))</f>
        <v>0</v>
      </c>
      <c r="J234" s="42" t="n">
        <f aca="false">AN234+MIN(AD234-AN234,MAX(0,'Start Here'!$B$10-SUM($AJ234:$AS234)-SUMPRODUCT(($Z$3:$AI$3&lt;AD$3)*($Z234:$AI234-$AJ234:$AS234))))</f>
        <v>0</v>
      </c>
      <c r="K234" s="42" t="n">
        <f aca="false">AO234+MIN(AE234-AO234,MAX(0,'Start Here'!$B$10-SUM($AJ234:$AS234)-SUMPRODUCT(($Z$3:$AI$3&lt;AE$3)*($Z234:$AI234-$AJ234:$AS234))))</f>
        <v>0</v>
      </c>
      <c r="L234" s="42" t="n">
        <f aca="false">AP234+MIN(AF234-AP234,MAX(0,'Start Here'!$B$10-SUM($AJ234:$AS234)-SUMPRODUCT(($Z$3:$AI$3&lt;AF$3)*($Z234:$AI234-$AJ234:$AS234))))</f>
        <v>0</v>
      </c>
      <c r="M234" s="42" t="n">
        <f aca="false">AQ234+MIN(AG234-AQ234,MAX(0,'Start Here'!$B$10-SUM($AJ234:$AS234)-SUMPRODUCT(($Z$3:$AI$3&lt;AG$3)*($Z234:$AI234-$AJ234:$AS234))))</f>
        <v>0</v>
      </c>
      <c r="N234" s="42" t="n">
        <f aca="false">AR234+MIN(AH234-AR234,MAX(0,'Start Here'!$B$10-SUM($AJ234:$AS234)-SUMPRODUCT(($Z$3:$AI$3&lt;AH$3)*($Z234:$AI234-$AJ234:$AS234))))</f>
        <v>0</v>
      </c>
      <c r="O234" s="42" t="n">
        <f aca="false">AS234+MIN(AI234-AS234,MAX(0,'Start Here'!$B$10-SUM($AJ234:$AS234)-SUMPRODUCT(($Z$3:$AI$3&lt;AI$3)*($Z234:$AI234-$AJ234:$AS234))))</f>
        <v>0</v>
      </c>
      <c r="P234" s="42" t="n">
        <f aca="false">ROUND(Z234-F234,2)</f>
        <v>0</v>
      </c>
      <c r="Q234" s="42" t="n">
        <f aca="false">ROUND(AA234-G234,2)</f>
        <v>0</v>
      </c>
      <c r="R234" s="42" t="n">
        <f aca="false">ROUND(AB234-H234,2)</f>
        <v>0</v>
      </c>
      <c r="S234" s="42" t="n">
        <f aca="false">ROUND(AC234-I234,2)</f>
        <v>0</v>
      </c>
      <c r="T234" s="42" t="n">
        <f aca="false">ROUND(AD234-J234,2)</f>
        <v>0</v>
      </c>
      <c r="U234" s="42" t="n">
        <f aca="false">ROUND(AE234-K234,2)</f>
        <v>0</v>
      </c>
      <c r="V234" s="42" t="n">
        <f aca="false">ROUND(AF234-L234,2)</f>
        <v>0</v>
      </c>
      <c r="W234" s="42" t="n">
        <f aca="false">ROUND(AG234-M234,2)</f>
        <v>0</v>
      </c>
      <c r="X234" s="42" t="n">
        <f aca="false">ROUND(AH234-N234,2)</f>
        <v>0</v>
      </c>
      <c r="Y234" s="42" t="n">
        <f aca="false">ROUND(AI234-O234,2)</f>
        <v>0</v>
      </c>
      <c r="Z234" s="56" t="n">
        <f aca="false">ROUND(P233*(1+N(Debts!$D$5)/12),2)</f>
        <v>0</v>
      </c>
      <c r="AA234" s="56" t="n">
        <f aca="false">ROUND(Q233*(1+N(Debts!$D$6)/12),2)</f>
        <v>0</v>
      </c>
      <c r="AB234" s="56" t="n">
        <f aca="false">ROUND(R233*(1+N(Debts!$D$7)/12),2)</f>
        <v>0</v>
      </c>
      <c r="AC234" s="56" t="n">
        <f aca="false">ROUND(S233*(1+N(Debts!$D$8)/12),2)</f>
        <v>0</v>
      </c>
      <c r="AD234" s="56" t="n">
        <f aca="false">ROUND(T233*(1+N(Debts!$D$9)/12),2)</f>
        <v>0</v>
      </c>
      <c r="AE234" s="56" t="n">
        <f aca="false">ROUND(U233*(1+N(Debts!$D$10)/12),2)</f>
        <v>0</v>
      </c>
      <c r="AF234" s="56" t="n">
        <f aca="false">ROUND(V233*(1+N(Debts!$D$11)/12),2)</f>
        <v>0</v>
      </c>
      <c r="AG234" s="56" t="n">
        <f aca="false">ROUND(W233*(1+N(Debts!$D$12)/12),2)</f>
        <v>0</v>
      </c>
      <c r="AH234" s="56" t="n">
        <f aca="false">ROUND(X233*(1+N(Debts!$D$13)/12),2)</f>
        <v>0</v>
      </c>
      <c r="AI234" s="56" t="n">
        <f aca="false">ROUND(Y233*(1+N(Debts!$D$14)/12),2)</f>
        <v>0</v>
      </c>
      <c r="AJ234" s="56" t="n">
        <f aca="false">MIN(Z234,MAX(0,N(Debts!$E$5)))</f>
        <v>0</v>
      </c>
      <c r="AK234" s="56" t="n">
        <f aca="false">MIN(AA234,MAX(0,N(Debts!$E$6)))</f>
        <v>0</v>
      </c>
      <c r="AL234" s="56" t="n">
        <f aca="false">MIN(AB234,MAX(0,N(Debts!$E$7)))</f>
        <v>0</v>
      </c>
      <c r="AM234" s="56" t="n">
        <f aca="false">MIN(AC234,MAX(0,N(Debts!$E$8)))</f>
        <v>0</v>
      </c>
      <c r="AN234" s="56" t="n">
        <f aca="false">MIN(AD234,MAX(0,N(Debts!$E$9)))</f>
        <v>0</v>
      </c>
      <c r="AO234" s="56" t="n">
        <f aca="false">MIN(AE234,MAX(0,N(Debts!$E$10)))</f>
        <v>0</v>
      </c>
      <c r="AP234" s="56" t="n">
        <f aca="false">MIN(AF234,MAX(0,N(Debts!$E$11)))</f>
        <v>0</v>
      </c>
      <c r="AQ234" s="56" t="n">
        <f aca="false">MIN(AG234,MAX(0,N(Debts!$E$12)))</f>
        <v>0</v>
      </c>
      <c r="AR234" s="56" t="n">
        <f aca="false">MIN(AH234,MAX(0,N(Debts!$E$13)))</f>
        <v>0</v>
      </c>
      <c r="AS234" s="56" t="n">
        <f aca="false">MIN(AI234,MAX(0,N(Debts!$E$14)))</f>
        <v>0</v>
      </c>
    </row>
    <row r="235" customFormat="false" ht="15" hidden="false" customHeight="false" outlineLevel="0" collapsed="false">
      <c r="A235" s="53" t="n">
        <v>231</v>
      </c>
      <c r="B235" s="54" t="n">
        <f aca="false">EDATE('Start Here'!$B$8,230)</f>
        <v>53328</v>
      </c>
      <c r="C235" s="42" t="n">
        <f aca="false">SUM(F235:O235)</f>
        <v>0</v>
      </c>
      <c r="D235" s="42" t="n">
        <f aca="false">ROUND(SUM($Z235:$AI235)-SUM(P234:Y234),2)</f>
        <v>0</v>
      </c>
      <c r="E235" s="55" t="n">
        <f aca="false">SUM(P235:Y235)</f>
        <v>0</v>
      </c>
      <c r="F235" s="42" t="n">
        <f aca="false">AJ235+MIN(Z235-AJ235,MAX(0,'Start Here'!$B$10-SUM($AJ235:$AS235)-SUMPRODUCT(($Z$3:$AI$3&lt;Z$3)*($Z235:$AI235-$AJ235:$AS235))))</f>
        <v>0</v>
      </c>
      <c r="G235" s="42" t="n">
        <f aca="false">AK235+MIN(AA235-AK235,MAX(0,'Start Here'!$B$10-SUM($AJ235:$AS235)-SUMPRODUCT(($Z$3:$AI$3&lt;AA$3)*($Z235:$AI235-$AJ235:$AS235))))</f>
        <v>0</v>
      </c>
      <c r="H235" s="42" t="n">
        <f aca="false">AL235+MIN(AB235-AL235,MAX(0,'Start Here'!$B$10-SUM($AJ235:$AS235)-SUMPRODUCT(($Z$3:$AI$3&lt;AB$3)*($Z235:$AI235-$AJ235:$AS235))))</f>
        <v>0</v>
      </c>
      <c r="I235" s="42" t="n">
        <f aca="false">AM235+MIN(AC235-AM235,MAX(0,'Start Here'!$B$10-SUM($AJ235:$AS235)-SUMPRODUCT(($Z$3:$AI$3&lt;AC$3)*($Z235:$AI235-$AJ235:$AS235))))</f>
        <v>0</v>
      </c>
      <c r="J235" s="42" t="n">
        <f aca="false">AN235+MIN(AD235-AN235,MAX(0,'Start Here'!$B$10-SUM($AJ235:$AS235)-SUMPRODUCT(($Z$3:$AI$3&lt;AD$3)*($Z235:$AI235-$AJ235:$AS235))))</f>
        <v>0</v>
      </c>
      <c r="K235" s="42" t="n">
        <f aca="false">AO235+MIN(AE235-AO235,MAX(0,'Start Here'!$B$10-SUM($AJ235:$AS235)-SUMPRODUCT(($Z$3:$AI$3&lt;AE$3)*($Z235:$AI235-$AJ235:$AS235))))</f>
        <v>0</v>
      </c>
      <c r="L235" s="42" t="n">
        <f aca="false">AP235+MIN(AF235-AP235,MAX(0,'Start Here'!$B$10-SUM($AJ235:$AS235)-SUMPRODUCT(($Z$3:$AI$3&lt;AF$3)*($Z235:$AI235-$AJ235:$AS235))))</f>
        <v>0</v>
      </c>
      <c r="M235" s="42" t="n">
        <f aca="false">AQ235+MIN(AG235-AQ235,MAX(0,'Start Here'!$B$10-SUM($AJ235:$AS235)-SUMPRODUCT(($Z$3:$AI$3&lt;AG$3)*($Z235:$AI235-$AJ235:$AS235))))</f>
        <v>0</v>
      </c>
      <c r="N235" s="42" t="n">
        <f aca="false">AR235+MIN(AH235-AR235,MAX(0,'Start Here'!$B$10-SUM($AJ235:$AS235)-SUMPRODUCT(($Z$3:$AI$3&lt;AH$3)*($Z235:$AI235-$AJ235:$AS235))))</f>
        <v>0</v>
      </c>
      <c r="O235" s="42" t="n">
        <f aca="false">AS235+MIN(AI235-AS235,MAX(0,'Start Here'!$B$10-SUM($AJ235:$AS235)-SUMPRODUCT(($Z$3:$AI$3&lt;AI$3)*($Z235:$AI235-$AJ235:$AS235))))</f>
        <v>0</v>
      </c>
      <c r="P235" s="42" t="n">
        <f aca="false">ROUND(Z235-F235,2)</f>
        <v>0</v>
      </c>
      <c r="Q235" s="42" t="n">
        <f aca="false">ROUND(AA235-G235,2)</f>
        <v>0</v>
      </c>
      <c r="R235" s="42" t="n">
        <f aca="false">ROUND(AB235-H235,2)</f>
        <v>0</v>
      </c>
      <c r="S235" s="42" t="n">
        <f aca="false">ROUND(AC235-I235,2)</f>
        <v>0</v>
      </c>
      <c r="T235" s="42" t="n">
        <f aca="false">ROUND(AD235-J235,2)</f>
        <v>0</v>
      </c>
      <c r="U235" s="42" t="n">
        <f aca="false">ROUND(AE235-K235,2)</f>
        <v>0</v>
      </c>
      <c r="V235" s="42" t="n">
        <f aca="false">ROUND(AF235-L235,2)</f>
        <v>0</v>
      </c>
      <c r="W235" s="42" t="n">
        <f aca="false">ROUND(AG235-M235,2)</f>
        <v>0</v>
      </c>
      <c r="X235" s="42" t="n">
        <f aca="false">ROUND(AH235-N235,2)</f>
        <v>0</v>
      </c>
      <c r="Y235" s="42" t="n">
        <f aca="false">ROUND(AI235-O235,2)</f>
        <v>0</v>
      </c>
      <c r="Z235" s="56" t="n">
        <f aca="false">ROUND(P234*(1+N(Debts!$D$5)/12),2)</f>
        <v>0</v>
      </c>
      <c r="AA235" s="56" t="n">
        <f aca="false">ROUND(Q234*(1+N(Debts!$D$6)/12),2)</f>
        <v>0</v>
      </c>
      <c r="AB235" s="56" t="n">
        <f aca="false">ROUND(R234*(1+N(Debts!$D$7)/12),2)</f>
        <v>0</v>
      </c>
      <c r="AC235" s="56" t="n">
        <f aca="false">ROUND(S234*(1+N(Debts!$D$8)/12),2)</f>
        <v>0</v>
      </c>
      <c r="AD235" s="56" t="n">
        <f aca="false">ROUND(T234*(1+N(Debts!$D$9)/12),2)</f>
        <v>0</v>
      </c>
      <c r="AE235" s="56" t="n">
        <f aca="false">ROUND(U234*(1+N(Debts!$D$10)/12),2)</f>
        <v>0</v>
      </c>
      <c r="AF235" s="56" t="n">
        <f aca="false">ROUND(V234*(1+N(Debts!$D$11)/12),2)</f>
        <v>0</v>
      </c>
      <c r="AG235" s="56" t="n">
        <f aca="false">ROUND(W234*(1+N(Debts!$D$12)/12),2)</f>
        <v>0</v>
      </c>
      <c r="AH235" s="56" t="n">
        <f aca="false">ROUND(X234*(1+N(Debts!$D$13)/12),2)</f>
        <v>0</v>
      </c>
      <c r="AI235" s="56" t="n">
        <f aca="false">ROUND(Y234*(1+N(Debts!$D$14)/12),2)</f>
        <v>0</v>
      </c>
      <c r="AJ235" s="56" t="n">
        <f aca="false">MIN(Z235,MAX(0,N(Debts!$E$5)))</f>
        <v>0</v>
      </c>
      <c r="AK235" s="56" t="n">
        <f aca="false">MIN(AA235,MAX(0,N(Debts!$E$6)))</f>
        <v>0</v>
      </c>
      <c r="AL235" s="56" t="n">
        <f aca="false">MIN(AB235,MAX(0,N(Debts!$E$7)))</f>
        <v>0</v>
      </c>
      <c r="AM235" s="56" t="n">
        <f aca="false">MIN(AC235,MAX(0,N(Debts!$E$8)))</f>
        <v>0</v>
      </c>
      <c r="AN235" s="56" t="n">
        <f aca="false">MIN(AD235,MAX(0,N(Debts!$E$9)))</f>
        <v>0</v>
      </c>
      <c r="AO235" s="56" t="n">
        <f aca="false">MIN(AE235,MAX(0,N(Debts!$E$10)))</f>
        <v>0</v>
      </c>
      <c r="AP235" s="56" t="n">
        <f aca="false">MIN(AF235,MAX(0,N(Debts!$E$11)))</f>
        <v>0</v>
      </c>
      <c r="AQ235" s="56" t="n">
        <f aca="false">MIN(AG235,MAX(0,N(Debts!$E$12)))</f>
        <v>0</v>
      </c>
      <c r="AR235" s="56" t="n">
        <f aca="false">MIN(AH235,MAX(0,N(Debts!$E$13)))</f>
        <v>0</v>
      </c>
      <c r="AS235" s="56" t="n">
        <f aca="false">MIN(AI235,MAX(0,N(Debts!$E$14)))</f>
        <v>0</v>
      </c>
    </row>
    <row r="236" customFormat="false" ht="15" hidden="false" customHeight="false" outlineLevel="0" collapsed="false">
      <c r="A236" s="53" t="n">
        <v>232</v>
      </c>
      <c r="B236" s="54" t="n">
        <f aca="false">EDATE('Start Here'!$B$8,231)</f>
        <v>53359</v>
      </c>
      <c r="C236" s="42" t="n">
        <f aca="false">SUM(F236:O236)</f>
        <v>0</v>
      </c>
      <c r="D236" s="42" t="n">
        <f aca="false">ROUND(SUM($Z236:$AI236)-SUM(P235:Y235),2)</f>
        <v>0</v>
      </c>
      <c r="E236" s="55" t="n">
        <f aca="false">SUM(P236:Y236)</f>
        <v>0</v>
      </c>
      <c r="F236" s="42" t="n">
        <f aca="false">AJ236+MIN(Z236-AJ236,MAX(0,'Start Here'!$B$10-SUM($AJ236:$AS236)-SUMPRODUCT(($Z$3:$AI$3&lt;Z$3)*($Z236:$AI236-$AJ236:$AS236))))</f>
        <v>0</v>
      </c>
      <c r="G236" s="42" t="n">
        <f aca="false">AK236+MIN(AA236-AK236,MAX(0,'Start Here'!$B$10-SUM($AJ236:$AS236)-SUMPRODUCT(($Z$3:$AI$3&lt;AA$3)*($Z236:$AI236-$AJ236:$AS236))))</f>
        <v>0</v>
      </c>
      <c r="H236" s="42" t="n">
        <f aca="false">AL236+MIN(AB236-AL236,MAX(0,'Start Here'!$B$10-SUM($AJ236:$AS236)-SUMPRODUCT(($Z$3:$AI$3&lt;AB$3)*($Z236:$AI236-$AJ236:$AS236))))</f>
        <v>0</v>
      </c>
      <c r="I236" s="42" t="n">
        <f aca="false">AM236+MIN(AC236-AM236,MAX(0,'Start Here'!$B$10-SUM($AJ236:$AS236)-SUMPRODUCT(($Z$3:$AI$3&lt;AC$3)*($Z236:$AI236-$AJ236:$AS236))))</f>
        <v>0</v>
      </c>
      <c r="J236" s="42" t="n">
        <f aca="false">AN236+MIN(AD236-AN236,MAX(0,'Start Here'!$B$10-SUM($AJ236:$AS236)-SUMPRODUCT(($Z$3:$AI$3&lt;AD$3)*($Z236:$AI236-$AJ236:$AS236))))</f>
        <v>0</v>
      </c>
      <c r="K236" s="42" t="n">
        <f aca="false">AO236+MIN(AE236-AO236,MAX(0,'Start Here'!$B$10-SUM($AJ236:$AS236)-SUMPRODUCT(($Z$3:$AI$3&lt;AE$3)*($Z236:$AI236-$AJ236:$AS236))))</f>
        <v>0</v>
      </c>
      <c r="L236" s="42" t="n">
        <f aca="false">AP236+MIN(AF236-AP236,MAX(0,'Start Here'!$B$10-SUM($AJ236:$AS236)-SUMPRODUCT(($Z$3:$AI$3&lt;AF$3)*($Z236:$AI236-$AJ236:$AS236))))</f>
        <v>0</v>
      </c>
      <c r="M236" s="42" t="n">
        <f aca="false">AQ236+MIN(AG236-AQ236,MAX(0,'Start Here'!$B$10-SUM($AJ236:$AS236)-SUMPRODUCT(($Z$3:$AI$3&lt;AG$3)*($Z236:$AI236-$AJ236:$AS236))))</f>
        <v>0</v>
      </c>
      <c r="N236" s="42" t="n">
        <f aca="false">AR236+MIN(AH236-AR236,MAX(0,'Start Here'!$B$10-SUM($AJ236:$AS236)-SUMPRODUCT(($Z$3:$AI$3&lt;AH$3)*($Z236:$AI236-$AJ236:$AS236))))</f>
        <v>0</v>
      </c>
      <c r="O236" s="42" t="n">
        <f aca="false">AS236+MIN(AI236-AS236,MAX(0,'Start Here'!$B$10-SUM($AJ236:$AS236)-SUMPRODUCT(($Z$3:$AI$3&lt;AI$3)*($Z236:$AI236-$AJ236:$AS236))))</f>
        <v>0</v>
      </c>
      <c r="P236" s="42" t="n">
        <f aca="false">ROUND(Z236-F236,2)</f>
        <v>0</v>
      </c>
      <c r="Q236" s="42" t="n">
        <f aca="false">ROUND(AA236-G236,2)</f>
        <v>0</v>
      </c>
      <c r="R236" s="42" t="n">
        <f aca="false">ROUND(AB236-H236,2)</f>
        <v>0</v>
      </c>
      <c r="S236" s="42" t="n">
        <f aca="false">ROUND(AC236-I236,2)</f>
        <v>0</v>
      </c>
      <c r="T236" s="42" t="n">
        <f aca="false">ROUND(AD236-J236,2)</f>
        <v>0</v>
      </c>
      <c r="U236" s="42" t="n">
        <f aca="false">ROUND(AE236-K236,2)</f>
        <v>0</v>
      </c>
      <c r="V236" s="42" t="n">
        <f aca="false">ROUND(AF236-L236,2)</f>
        <v>0</v>
      </c>
      <c r="W236" s="42" t="n">
        <f aca="false">ROUND(AG236-M236,2)</f>
        <v>0</v>
      </c>
      <c r="X236" s="42" t="n">
        <f aca="false">ROUND(AH236-N236,2)</f>
        <v>0</v>
      </c>
      <c r="Y236" s="42" t="n">
        <f aca="false">ROUND(AI236-O236,2)</f>
        <v>0</v>
      </c>
      <c r="Z236" s="56" t="n">
        <f aca="false">ROUND(P235*(1+N(Debts!$D$5)/12),2)</f>
        <v>0</v>
      </c>
      <c r="AA236" s="56" t="n">
        <f aca="false">ROUND(Q235*(1+N(Debts!$D$6)/12),2)</f>
        <v>0</v>
      </c>
      <c r="AB236" s="56" t="n">
        <f aca="false">ROUND(R235*(1+N(Debts!$D$7)/12),2)</f>
        <v>0</v>
      </c>
      <c r="AC236" s="56" t="n">
        <f aca="false">ROUND(S235*(1+N(Debts!$D$8)/12),2)</f>
        <v>0</v>
      </c>
      <c r="AD236" s="56" t="n">
        <f aca="false">ROUND(T235*(1+N(Debts!$D$9)/12),2)</f>
        <v>0</v>
      </c>
      <c r="AE236" s="56" t="n">
        <f aca="false">ROUND(U235*(1+N(Debts!$D$10)/12),2)</f>
        <v>0</v>
      </c>
      <c r="AF236" s="56" t="n">
        <f aca="false">ROUND(V235*(1+N(Debts!$D$11)/12),2)</f>
        <v>0</v>
      </c>
      <c r="AG236" s="56" t="n">
        <f aca="false">ROUND(W235*(1+N(Debts!$D$12)/12),2)</f>
        <v>0</v>
      </c>
      <c r="AH236" s="56" t="n">
        <f aca="false">ROUND(X235*(1+N(Debts!$D$13)/12),2)</f>
        <v>0</v>
      </c>
      <c r="AI236" s="56" t="n">
        <f aca="false">ROUND(Y235*(1+N(Debts!$D$14)/12),2)</f>
        <v>0</v>
      </c>
      <c r="AJ236" s="56" t="n">
        <f aca="false">MIN(Z236,MAX(0,N(Debts!$E$5)))</f>
        <v>0</v>
      </c>
      <c r="AK236" s="56" t="n">
        <f aca="false">MIN(AA236,MAX(0,N(Debts!$E$6)))</f>
        <v>0</v>
      </c>
      <c r="AL236" s="56" t="n">
        <f aca="false">MIN(AB236,MAX(0,N(Debts!$E$7)))</f>
        <v>0</v>
      </c>
      <c r="AM236" s="56" t="n">
        <f aca="false">MIN(AC236,MAX(0,N(Debts!$E$8)))</f>
        <v>0</v>
      </c>
      <c r="AN236" s="56" t="n">
        <f aca="false">MIN(AD236,MAX(0,N(Debts!$E$9)))</f>
        <v>0</v>
      </c>
      <c r="AO236" s="56" t="n">
        <f aca="false">MIN(AE236,MAX(0,N(Debts!$E$10)))</f>
        <v>0</v>
      </c>
      <c r="AP236" s="56" t="n">
        <f aca="false">MIN(AF236,MAX(0,N(Debts!$E$11)))</f>
        <v>0</v>
      </c>
      <c r="AQ236" s="56" t="n">
        <f aca="false">MIN(AG236,MAX(0,N(Debts!$E$12)))</f>
        <v>0</v>
      </c>
      <c r="AR236" s="56" t="n">
        <f aca="false">MIN(AH236,MAX(0,N(Debts!$E$13)))</f>
        <v>0</v>
      </c>
      <c r="AS236" s="56" t="n">
        <f aca="false">MIN(AI236,MAX(0,N(Debts!$E$14)))</f>
        <v>0</v>
      </c>
    </row>
    <row r="237" customFormat="false" ht="15" hidden="false" customHeight="false" outlineLevel="0" collapsed="false">
      <c r="A237" s="53" t="n">
        <v>233</v>
      </c>
      <c r="B237" s="54" t="n">
        <f aca="false">EDATE('Start Here'!$B$8,232)</f>
        <v>53387</v>
      </c>
      <c r="C237" s="42" t="n">
        <f aca="false">SUM(F237:O237)</f>
        <v>0</v>
      </c>
      <c r="D237" s="42" t="n">
        <f aca="false">ROUND(SUM($Z237:$AI237)-SUM(P236:Y236),2)</f>
        <v>0</v>
      </c>
      <c r="E237" s="55" t="n">
        <f aca="false">SUM(P237:Y237)</f>
        <v>0</v>
      </c>
      <c r="F237" s="42" t="n">
        <f aca="false">AJ237+MIN(Z237-AJ237,MAX(0,'Start Here'!$B$10-SUM($AJ237:$AS237)-SUMPRODUCT(($Z$3:$AI$3&lt;Z$3)*($Z237:$AI237-$AJ237:$AS237))))</f>
        <v>0</v>
      </c>
      <c r="G237" s="42" t="n">
        <f aca="false">AK237+MIN(AA237-AK237,MAX(0,'Start Here'!$B$10-SUM($AJ237:$AS237)-SUMPRODUCT(($Z$3:$AI$3&lt;AA$3)*($Z237:$AI237-$AJ237:$AS237))))</f>
        <v>0</v>
      </c>
      <c r="H237" s="42" t="n">
        <f aca="false">AL237+MIN(AB237-AL237,MAX(0,'Start Here'!$B$10-SUM($AJ237:$AS237)-SUMPRODUCT(($Z$3:$AI$3&lt;AB$3)*($Z237:$AI237-$AJ237:$AS237))))</f>
        <v>0</v>
      </c>
      <c r="I237" s="42" t="n">
        <f aca="false">AM237+MIN(AC237-AM237,MAX(0,'Start Here'!$B$10-SUM($AJ237:$AS237)-SUMPRODUCT(($Z$3:$AI$3&lt;AC$3)*($Z237:$AI237-$AJ237:$AS237))))</f>
        <v>0</v>
      </c>
      <c r="J237" s="42" t="n">
        <f aca="false">AN237+MIN(AD237-AN237,MAX(0,'Start Here'!$B$10-SUM($AJ237:$AS237)-SUMPRODUCT(($Z$3:$AI$3&lt;AD$3)*($Z237:$AI237-$AJ237:$AS237))))</f>
        <v>0</v>
      </c>
      <c r="K237" s="42" t="n">
        <f aca="false">AO237+MIN(AE237-AO237,MAX(0,'Start Here'!$B$10-SUM($AJ237:$AS237)-SUMPRODUCT(($Z$3:$AI$3&lt;AE$3)*($Z237:$AI237-$AJ237:$AS237))))</f>
        <v>0</v>
      </c>
      <c r="L237" s="42" t="n">
        <f aca="false">AP237+MIN(AF237-AP237,MAX(0,'Start Here'!$B$10-SUM($AJ237:$AS237)-SUMPRODUCT(($Z$3:$AI$3&lt;AF$3)*($Z237:$AI237-$AJ237:$AS237))))</f>
        <v>0</v>
      </c>
      <c r="M237" s="42" t="n">
        <f aca="false">AQ237+MIN(AG237-AQ237,MAX(0,'Start Here'!$B$10-SUM($AJ237:$AS237)-SUMPRODUCT(($Z$3:$AI$3&lt;AG$3)*($Z237:$AI237-$AJ237:$AS237))))</f>
        <v>0</v>
      </c>
      <c r="N237" s="42" t="n">
        <f aca="false">AR237+MIN(AH237-AR237,MAX(0,'Start Here'!$B$10-SUM($AJ237:$AS237)-SUMPRODUCT(($Z$3:$AI$3&lt;AH$3)*($Z237:$AI237-$AJ237:$AS237))))</f>
        <v>0</v>
      </c>
      <c r="O237" s="42" t="n">
        <f aca="false">AS237+MIN(AI237-AS237,MAX(0,'Start Here'!$B$10-SUM($AJ237:$AS237)-SUMPRODUCT(($Z$3:$AI$3&lt;AI$3)*($Z237:$AI237-$AJ237:$AS237))))</f>
        <v>0</v>
      </c>
      <c r="P237" s="42" t="n">
        <f aca="false">ROUND(Z237-F237,2)</f>
        <v>0</v>
      </c>
      <c r="Q237" s="42" t="n">
        <f aca="false">ROUND(AA237-G237,2)</f>
        <v>0</v>
      </c>
      <c r="R237" s="42" t="n">
        <f aca="false">ROUND(AB237-H237,2)</f>
        <v>0</v>
      </c>
      <c r="S237" s="42" t="n">
        <f aca="false">ROUND(AC237-I237,2)</f>
        <v>0</v>
      </c>
      <c r="T237" s="42" t="n">
        <f aca="false">ROUND(AD237-J237,2)</f>
        <v>0</v>
      </c>
      <c r="U237" s="42" t="n">
        <f aca="false">ROUND(AE237-K237,2)</f>
        <v>0</v>
      </c>
      <c r="V237" s="42" t="n">
        <f aca="false">ROUND(AF237-L237,2)</f>
        <v>0</v>
      </c>
      <c r="W237" s="42" t="n">
        <f aca="false">ROUND(AG237-M237,2)</f>
        <v>0</v>
      </c>
      <c r="X237" s="42" t="n">
        <f aca="false">ROUND(AH237-N237,2)</f>
        <v>0</v>
      </c>
      <c r="Y237" s="42" t="n">
        <f aca="false">ROUND(AI237-O237,2)</f>
        <v>0</v>
      </c>
      <c r="Z237" s="56" t="n">
        <f aca="false">ROUND(P236*(1+N(Debts!$D$5)/12),2)</f>
        <v>0</v>
      </c>
      <c r="AA237" s="56" t="n">
        <f aca="false">ROUND(Q236*(1+N(Debts!$D$6)/12),2)</f>
        <v>0</v>
      </c>
      <c r="AB237" s="56" t="n">
        <f aca="false">ROUND(R236*(1+N(Debts!$D$7)/12),2)</f>
        <v>0</v>
      </c>
      <c r="AC237" s="56" t="n">
        <f aca="false">ROUND(S236*(1+N(Debts!$D$8)/12),2)</f>
        <v>0</v>
      </c>
      <c r="AD237" s="56" t="n">
        <f aca="false">ROUND(T236*(1+N(Debts!$D$9)/12),2)</f>
        <v>0</v>
      </c>
      <c r="AE237" s="56" t="n">
        <f aca="false">ROUND(U236*(1+N(Debts!$D$10)/12),2)</f>
        <v>0</v>
      </c>
      <c r="AF237" s="56" t="n">
        <f aca="false">ROUND(V236*(1+N(Debts!$D$11)/12),2)</f>
        <v>0</v>
      </c>
      <c r="AG237" s="56" t="n">
        <f aca="false">ROUND(W236*(1+N(Debts!$D$12)/12),2)</f>
        <v>0</v>
      </c>
      <c r="AH237" s="56" t="n">
        <f aca="false">ROUND(X236*(1+N(Debts!$D$13)/12),2)</f>
        <v>0</v>
      </c>
      <c r="AI237" s="56" t="n">
        <f aca="false">ROUND(Y236*(1+N(Debts!$D$14)/12),2)</f>
        <v>0</v>
      </c>
      <c r="AJ237" s="56" t="n">
        <f aca="false">MIN(Z237,MAX(0,N(Debts!$E$5)))</f>
        <v>0</v>
      </c>
      <c r="AK237" s="56" t="n">
        <f aca="false">MIN(AA237,MAX(0,N(Debts!$E$6)))</f>
        <v>0</v>
      </c>
      <c r="AL237" s="56" t="n">
        <f aca="false">MIN(AB237,MAX(0,N(Debts!$E$7)))</f>
        <v>0</v>
      </c>
      <c r="AM237" s="56" t="n">
        <f aca="false">MIN(AC237,MAX(0,N(Debts!$E$8)))</f>
        <v>0</v>
      </c>
      <c r="AN237" s="56" t="n">
        <f aca="false">MIN(AD237,MAX(0,N(Debts!$E$9)))</f>
        <v>0</v>
      </c>
      <c r="AO237" s="56" t="n">
        <f aca="false">MIN(AE237,MAX(0,N(Debts!$E$10)))</f>
        <v>0</v>
      </c>
      <c r="AP237" s="56" t="n">
        <f aca="false">MIN(AF237,MAX(0,N(Debts!$E$11)))</f>
        <v>0</v>
      </c>
      <c r="AQ237" s="56" t="n">
        <f aca="false">MIN(AG237,MAX(0,N(Debts!$E$12)))</f>
        <v>0</v>
      </c>
      <c r="AR237" s="56" t="n">
        <f aca="false">MIN(AH237,MAX(0,N(Debts!$E$13)))</f>
        <v>0</v>
      </c>
      <c r="AS237" s="56" t="n">
        <f aca="false">MIN(AI237,MAX(0,N(Debts!$E$14)))</f>
        <v>0</v>
      </c>
    </row>
    <row r="238" customFormat="false" ht="15" hidden="false" customHeight="false" outlineLevel="0" collapsed="false">
      <c r="A238" s="53" t="n">
        <v>234</v>
      </c>
      <c r="B238" s="54" t="n">
        <f aca="false">EDATE('Start Here'!$B$8,233)</f>
        <v>53418</v>
      </c>
      <c r="C238" s="42" t="n">
        <f aca="false">SUM(F238:O238)</f>
        <v>0</v>
      </c>
      <c r="D238" s="42" t="n">
        <f aca="false">ROUND(SUM($Z238:$AI238)-SUM(P237:Y237),2)</f>
        <v>0</v>
      </c>
      <c r="E238" s="55" t="n">
        <f aca="false">SUM(P238:Y238)</f>
        <v>0</v>
      </c>
      <c r="F238" s="42" t="n">
        <f aca="false">AJ238+MIN(Z238-AJ238,MAX(0,'Start Here'!$B$10-SUM($AJ238:$AS238)-SUMPRODUCT(($Z$3:$AI$3&lt;Z$3)*($Z238:$AI238-$AJ238:$AS238))))</f>
        <v>0</v>
      </c>
      <c r="G238" s="42" t="n">
        <f aca="false">AK238+MIN(AA238-AK238,MAX(0,'Start Here'!$B$10-SUM($AJ238:$AS238)-SUMPRODUCT(($Z$3:$AI$3&lt;AA$3)*($Z238:$AI238-$AJ238:$AS238))))</f>
        <v>0</v>
      </c>
      <c r="H238" s="42" t="n">
        <f aca="false">AL238+MIN(AB238-AL238,MAX(0,'Start Here'!$B$10-SUM($AJ238:$AS238)-SUMPRODUCT(($Z$3:$AI$3&lt;AB$3)*($Z238:$AI238-$AJ238:$AS238))))</f>
        <v>0</v>
      </c>
      <c r="I238" s="42" t="n">
        <f aca="false">AM238+MIN(AC238-AM238,MAX(0,'Start Here'!$B$10-SUM($AJ238:$AS238)-SUMPRODUCT(($Z$3:$AI$3&lt;AC$3)*($Z238:$AI238-$AJ238:$AS238))))</f>
        <v>0</v>
      </c>
      <c r="J238" s="42" t="n">
        <f aca="false">AN238+MIN(AD238-AN238,MAX(0,'Start Here'!$B$10-SUM($AJ238:$AS238)-SUMPRODUCT(($Z$3:$AI$3&lt;AD$3)*($Z238:$AI238-$AJ238:$AS238))))</f>
        <v>0</v>
      </c>
      <c r="K238" s="42" t="n">
        <f aca="false">AO238+MIN(AE238-AO238,MAX(0,'Start Here'!$B$10-SUM($AJ238:$AS238)-SUMPRODUCT(($Z$3:$AI$3&lt;AE$3)*($Z238:$AI238-$AJ238:$AS238))))</f>
        <v>0</v>
      </c>
      <c r="L238" s="42" t="n">
        <f aca="false">AP238+MIN(AF238-AP238,MAX(0,'Start Here'!$B$10-SUM($AJ238:$AS238)-SUMPRODUCT(($Z$3:$AI$3&lt;AF$3)*($Z238:$AI238-$AJ238:$AS238))))</f>
        <v>0</v>
      </c>
      <c r="M238" s="42" t="n">
        <f aca="false">AQ238+MIN(AG238-AQ238,MAX(0,'Start Here'!$B$10-SUM($AJ238:$AS238)-SUMPRODUCT(($Z$3:$AI$3&lt;AG$3)*($Z238:$AI238-$AJ238:$AS238))))</f>
        <v>0</v>
      </c>
      <c r="N238" s="42" t="n">
        <f aca="false">AR238+MIN(AH238-AR238,MAX(0,'Start Here'!$B$10-SUM($AJ238:$AS238)-SUMPRODUCT(($Z$3:$AI$3&lt;AH$3)*($Z238:$AI238-$AJ238:$AS238))))</f>
        <v>0</v>
      </c>
      <c r="O238" s="42" t="n">
        <f aca="false">AS238+MIN(AI238-AS238,MAX(0,'Start Here'!$B$10-SUM($AJ238:$AS238)-SUMPRODUCT(($Z$3:$AI$3&lt;AI$3)*($Z238:$AI238-$AJ238:$AS238))))</f>
        <v>0</v>
      </c>
      <c r="P238" s="42" t="n">
        <f aca="false">ROUND(Z238-F238,2)</f>
        <v>0</v>
      </c>
      <c r="Q238" s="42" t="n">
        <f aca="false">ROUND(AA238-G238,2)</f>
        <v>0</v>
      </c>
      <c r="R238" s="42" t="n">
        <f aca="false">ROUND(AB238-H238,2)</f>
        <v>0</v>
      </c>
      <c r="S238" s="42" t="n">
        <f aca="false">ROUND(AC238-I238,2)</f>
        <v>0</v>
      </c>
      <c r="T238" s="42" t="n">
        <f aca="false">ROUND(AD238-J238,2)</f>
        <v>0</v>
      </c>
      <c r="U238" s="42" t="n">
        <f aca="false">ROUND(AE238-K238,2)</f>
        <v>0</v>
      </c>
      <c r="V238" s="42" t="n">
        <f aca="false">ROUND(AF238-L238,2)</f>
        <v>0</v>
      </c>
      <c r="W238" s="42" t="n">
        <f aca="false">ROUND(AG238-M238,2)</f>
        <v>0</v>
      </c>
      <c r="X238" s="42" t="n">
        <f aca="false">ROUND(AH238-N238,2)</f>
        <v>0</v>
      </c>
      <c r="Y238" s="42" t="n">
        <f aca="false">ROUND(AI238-O238,2)</f>
        <v>0</v>
      </c>
      <c r="Z238" s="56" t="n">
        <f aca="false">ROUND(P237*(1+N(Debts!$D$5)/12),2)</f>
        <v>0</v>
      </c>
      <c r="AA238" s="56" t="n">
        <f aca="false">ROUND(Q237*(1+N(Debts!$D$6)/12),2)</f>
        <v>0</v>
      </c>
      <c r="AB238" s="56" t="n">
        <f aca="false">ROUND(R237*(1+N(Debts!$D$7)/12),2)</f>
        <v>0</v>
      </c>
      <c r="AC238" s="56" t="n">
        <f aca="false">ROUND(S237*(1+N(Debts!$D$8)/12),2)</f>
        <v>0</v>
      </c>
      <c r="AD238" s="56" t="n">
        <f aca="false">ROUND(T237*(1+N(Debts!$D$9)/12),2)</f>
        <v>0</v>
      </c>
      <c r="AE238" s="56" t="n">
        <f aca="false">ROUND(U237*(1+N(Debts!$D$10)/12),2)</f>
        <v>0</v>
      </c>
      <c r="AF238" s="56" t="n">
        <f aca="false">ROUND(V237*(1+N(Debts!$D$11)/12),2)</f>
        <v>0</v>
      </c>
      <c r="AG238" s="56" t="n">
        <f aca="false">ROUND(W237*(1+N(Debts!$D$12)/12),2)</f>
        <v>0</v>
      </c>
      <c r="AH238" s="56" t="n">
        <f aca="false">ROUND(X237*(1+N(Debts!$D$13)/12),2)</f>
        <v>0</v>
      </c>
      <c r="AI238" s="56" t="n">
        <f aca="false">ROUND(Y237*(1+N(Debts!$D$14)/12),2)</f>
        <v>0</v>
      </c>
      <c r="AJ238" s="56" t="n">
        <f aca="false">MIN(Z238,MAX(0,N(Debts!$E$5)))</f>
        <v>0</v>
      </c>
      <c r="AK238" s="56" t="n">
        <f aca="false">MIN(AA238,MAX(0,N(Debts!$E$6)))</f>
        <v>0</v>
      </c>
      <c r="AL238" s="56" t="n">
        <f aca="false">MIN(AB238,MAX(0,N(Debts!$E$7)))</f>
        <v>0</v>
      </c>
      <c r="AM238" s="56" t="n">
        <f aca="false">MIN(AC238,MAX(0,N(Debts!$E$8)))</f>
        <v>0</v>
      </c>
      <c r="AN238" s="56" t="n">
        <f aca="false">MIN(AD238,MAX(0,N(Debts!$E$9)))</f>
        <v>0</v>
      </c>
      <c r="AO238" s="56" t="n">
        <f aca="false">MIN(AE238,MAX(0,N(Debts!$E$10)))</f>
        <v>0</v>
      </c>
      <c r="AP238" s="56" t="n">
        <f aca="false">MIN(AF238,MAX(0,N(Debts!$E$11)))</f>
        <v>0</v>
      </c>
      <c r="AQ238" s="56" t="n">
        <f aca="false">MIN(AG238,MAX(0,N(Debts!$E$12)))</f>
        <v>0</v>
      </c>
      <c r="AR238" s="56" t="n">
        <f aca="false">MIN(AH238,MAX(0,N(Debts!$E$13)))</f>
        <v>0</v>
      </c>
      <c r="AS238" s="56" t="n">
        <f aca="false">MIN(AI238,MAX(0,N(Debts!$E$14)))</f>
        <v>0</v>
      </c>
    </row>
    <row r="239" customFormat="false" ht="15" hidden="false" customHeight="false" outlineLevel="0" collapsed="false">
      <c r="A239" s="53" t="n">
        <v>235</v>
      </c>
      <c r="B239" s="54" t="n">
        <f aca="false">EDATE('Start Here'!$B$8,234)</f>
        <v>53448</v>
      </c>
      <c r="C239" s="42" t="n">
        <f aca="false">SUM(F239:O239)</f>
        <v>0</v>
      </c>
      <c r="D239" s="42" t="n">
        <f aca="false">ROUND(SUM($Z239:$AI239)-SUM(P238:Y238),2)</f>
        <v>0</v>
      </c>
      <c r="E239" s="55" t="n">
        <f aca="false">SUM(P239:Y239)</f>
        <v>0</v>
      </c>
      <c r="F239" s="42" t="n">
        <f aca="false">AJ239+MIN(Z239-AJ239,MAX(0,'Start Here'!$B$10-SUM($AJ239:$AS239)-SUMPRODUCT(($Z$3:$AI$3&lt;Z$3)*($Z239:$AI239-$AJ239:$AS239))))</f>
        <v>0</v>
      </c>
      <c r="G239" s="42" t="n">
        <f aca="false">AK239+MIN(AA239-AK239,MAX(0,'Start Here'!$B$10-SUM($AJ239:$AS239)-SUMPRODUCT(($Z$3:$AI$3&lt;AA$3)*($Z239:$AI239-$AJ239:$AS239))))</f>
        <v>0</v>
      </c>
      <c r="H239" s="42" t="n">
        <f aca="false">AL239+MIN(AB239-AL239,MAX(0,'Start Here'!$B$10-SUM($AJ239:$AS239)-SUMPRODUCT(($Z$3:$AI$3&lt;AB$3)*($Z239:$AI239-$AJ239:$AS239))))</f>
        <v>0</v>
      </c>
      <c r="I239" s="42" t="n">
        <f aca="false">AM239+MIN(AC239-AM239,MAX(0,'Start Here'!$B$10-SUM($AJ239:$AS239)-SUMPRODUCT(($Z$3:$AI$3&lt;AC$3)*($Z239:$AI239-$AJ239:$AS239))))</f>
        <v>0</v>
      </c>
      <c r="J239" s="42" t="n">
        <f aca="false">AN239+MIN(AD239-AN239,MAX(0,'Start Here'!$B$10-SUM($AJ239:$AS239)-SUMPRODUCT(($Z$3:$AI$3&lt;AD$3)*($Z239:$AI239-$AJ239:$AS239))))</f>
        <v>0</v>
      </c>
      <c r="K239" s="42" t="n">
        <f aca="false">AO239+MIN(AE239-AO239,MAX(0,'Start Here'!$B$10-SUM($AJ239:$AS239)-SUMPRODUCT(($Z$3:$AI$3&lt;AE$3)*($Z239:$AI239-$AJ239:$AS239))))</f>
        <v>0</v>
      </c>
      <c r="L239" s="42" t="n">
        <f aca="false">AP239+MIN(AF239-AP239,MAX(0,'Start Here'!$B$10-SUM($AJ239:$AS239)-SUMPRODUCT(($Z$3:$AI$3&lt;AF$3)*($Z239:$AI239-$AJ239:$AS239))))</f>
        <v>0</v>
      </c>
      <c r="M239" s="42" t="n">
        <f aca="false">AQ239+MIN(AG239-AQ239,MAX(0,'Start Here'!$B$10-SUM($AJ239:$AS239)-SUMPRODUCT(($Z$3:$AI$3&lt;AG$3)*($Z239:$AI239-$AJ239:$AS239))))</f>
        <v>0</v>
      </c>
      <c r="N239" s="42" t="n">
        <f aca="false">AR239+MIN(AH239-AR239,MAX(0,'Start Here'!$B$10-SUM($AJ239:$AS239)-SUMPRODUCT(($Z$3:$AI$3&lt;AH$3)*($Z239:$AI239-$AJ239:$AS239))))</f>
        <v>0</v>
      </c>
      <c r="O239" s="42" t="n">
        <f aca="false">AS239+MIN(AI239-AS239,MAX(0,'Start Here'!$B$10-SUM($AJ239:$AS239)-SUMPRODUCT(($Z$3:$AI$3&lt;AI$3)*($Z239:$AI239-$AJ239:$AS239))))</f>
        <v>0</v>
      </c>
      <c r="P239" s="42" t="n">
        <f aca="false">ROUND(Z239-F239,2)</f>
        <v>0</v>
      </c>
      <c r="Q239" s="42" t="n">
        <f aca="false">ROUND(AA239-G239,2)</f>
        <v>0</v>
      </c>
      <c r="R239" s="42" t="n">
        <f aca="false">ROUND(AB239-H239,2)</f>
        <v>0</v>
      </c>
      <c r="S239" s="42" t="n">
        <f aca="false">ROUND(AC239-I239,2)</f>
        <v>0</v>
      </c>
      <c r="T239" s="42" t="n">
        <f aca="false">ROUND(AD239-J239,2)</f>
        <v>0</v>
      </c>
      <c r="U239" s="42" t="n">
        <f aca="false">ROUND(AE239-K239,2)</f>
        <v>0</v>
      </c>
      <c r="V239" s="42" t="n">
        <f aca="false">ROUND(AF239-L239,2)</f>
        <v>0</v>
      </c>
      <c r="W239" s="42" t="n">
        <f aca="false">ROUND(AG239-M239,2)</f>
        <v>0</v>
      </c>
      <c r="X239" s="42" t="n">
        <f aca="false">ROUND(AH239-N239,2)</f>
        <v>0</v>
      </c>
      <c r="Y239" s="42" t="n">
        <f aca="false">ROUND(AI239-O239,2)</f>
        <v>0</v>
      </c>
      <c r="Z239" s="56" t="n">
        <f aca="false">ROUND(P238*(1+N(Debts!$D$5)/12),2)</f>
        <v>0</v>
      </c>
      <c r="AA239" s="56" t="n">
        <f aca="false">ROUND(Q238*(1+N(Debts!$D$6)/12),2)</f>
        <v>0</v>
      </c>
      <c r="AB239" s="56" t="n">
        <f aca="false">ROUND(R238*(1+N(Debts!$D$7)/12),2)</f>
        <v>0</v>
      </c>
      <c r="AC239" s="56" t="n">
        <f aca="false">ROUND(S238*(1+N(Debts!$D$8)/12),2)</f>
        <v>0</v>
      </c>
      <c r="AD239" s="56" t="n">
        <f aca="false">ROUND(T238*(1+N(Debts!$D$9)/12),2)</f>
        <v>0</v>
      </c>
      <c r="AE239" s="56" t="n">
        <f aca="false">ROUND(U238*(1+N(Debts!$D$10)/12),2)</f>
        <v>0</v>
      </c>
      <c r="AF239" s="56" t="n">
        <f aca="false">ROUND(V238*(1+N(Debts!$D$11)/12),2)</f>
        <v>0</v>
      </c>
      <c r="AG239" s="56" t="n">
        <f aca="false">ROUND(W238*(1+N(Debts!$D$12)/12),2)</f>
        <v>0</v>
      </c>
      <c r="AH239" s="56" t="n">
        <f aca="false">ROUND(X238*(1+N(Debts!$D$13)/12),2)</f>
        <v>0</v>
      </c>
      <c r="AI239" s="56" t="n">
        <f aca="false">ROUND(Y238*(1+N(Debts!$D$14)/12),2)</f>
        <v>0</v>
      </c>
      <c r="AJ239" s="56" t="n">
        <f aca="false">MIN(Z239,MAX(0,N(Debts!$E$5)))</f>
        <v>0</v>
      </c>
      <c r="AK239" s="56" t="n">
        <f aca="false">MIN(AA239,MAX(0,N(Debts!$E$6)))</f>
        <v>0</v>
      </c>
      <c r="AL239" s="56" t="n">
        <f aca="false">MIN(AB239,MAX(0,N(Debts!$E$7)))</f>
        <v>0</v>
      </c>
      <c r="AM239" s="56" t="n">
        <f aca="false">MIN(AC239,MAX(0,N(Debts!$E$8)))</f>
        <v>0</v>
      </c>
      <c r="AN239" s="56" t="n">
        <f aca="false">MIN(AD239,MAX(0,N(Debts!$E$9)))</f>
        <v>0</v>
      </c>
      <c r="AO239" s="56" t="n">
        <f aca="false">MIN(AE239,MAX(0,N(Debts!$E$10)))</f>
        <v>0</v>
      </c>
      <c r="AP239" s="56" t="n">
        <f aca="false">MIN(AF239,MAX(0,N(Debts!$E$11)))</f>
        <v>0</v>
      </c>
      <c r="AQ239" s="56" t="n">
        <f aca="false">MIN(AG239,MAX(0,N(Debts!$E$12)))</f>
        <v>0</v>
      </c>
      <c r="AR239" s="56" t="n">
        <f aca="false">MIN(AH239,MAX(0,N(Debts!$E$13)))</f>
        <v>0</v>
      </c>
      <c r="AS239" s="56" t="n">
        <f aca="false">MIN(AI239,MAX(0,N(Debts!$E$14)))</f>
        <v>0</v>
      </c>
    </row>
    <row r="240" customFormat="false" ht="15" hidden="false" customHeight="false" outlineLevel="0" collapsed="false">
      <c r="A240" s="53" t="n">
        <v>236</v>
      </c>
      <c r="B240" s="54" t="n">
        <f aca="false">EDATE('Start Here'!$B$8,235)</f>
        <v>53479</v>
      </c>
      <c r="C240" s="42" t="n">
        <f aca="false">SUM(F240:O240)</f>
        <v>0</v>
      </c>
      <c r="D240" s="42" t="n">
        <f aca="false">ROUND(SUM($Z240:$AI240)-SUM(P239:Y239),2)</f>
        <v>0</v>
      </c>
      <c r="E240" s="55" t="n">
        <f aca="false">SUM(P240:Y240)</f>
        <v>0</v>
      </c>
      <c r="F240" s="42" t="n">
        <f aca="false">AJ240+MIN(Z240-AJ240,MAX(0,'Start Here'!$B$10-SUM($AJ240:$AS240)-SUMPRODUCT(($Z$3:$AI$3&lt;Z$3)*($Z240:$AI240-$AJ240:$AS240))))</f>
        <v>0</v>
      </c>
      <c r="G240" s="42" t="n">
        <f aca="false">AK240+MIN(AA240-AK240,MAX(0,'Start Here'!$B$10-SUM($AJ240:$AS240)-SUMPRODUCT(($Z$3:$AI$3&lt;AA$3)*($Z240:$AI240-$AJ240:$AS240))))</f>
        <v>0</v>
      </c>
      <c r="H240" s="42" t="n">
        <f aca="false">AL240+MIN(AB240-AL240,MAX(0,'Start Here'!$B$10-SUM($AJ240:$AS240)-SUMPRODUCT(($Z$3:$AI$3&lt;AB$3)*($Z240:$AI240-$AJ240:$AS240))))</f>
        <v>0</v>
      </c>
      <c r="I240" s="42" t="n">
        <f aca="false">AM240+MIN(AC240-AM240,MAX(0,'Start Here'!$B$10-SUM($AJ240:$AS240)-SUMPRODUCT(($Z$3:$AI$3&lt;AC$3)*($Z240:$AI240-$AJ240:$AS240))))</f>
        <v>0</v>
      </c>
      <c r="J240" s="42" t="n">
        <f aca="false">AN240+MIN(AD240-AN240,MAX(0,'Start Here'!$B$10-SUM($AJ240:$AS240)-SUMPRODUCT(($Z$3:$AI$3&lt;AD$3)*($Z240:$AI240-$AJ240:$AS240))))</f>
        <v>0</v>
      </c>
      <c r="K240" s="42" t="n">
        <f aca="false">AO240+MIN(AE240-AO240,MAX(0,'Start Here'!$B$10-SUM($AJ240:$AS240)-SUMPRODUCT(($Z$3:$AI$3&lt;AE$3)*($Z240:$AI240-$AJ240:$AS240))))</f>
        <v>0</v>
      </c>
      <c r="L240" s="42" t="n">
        <f aca="false">AP240+MIN(AF240-AP240,MAX(0,'Start Here'!$B$10-SUM($AJ240:$AS240)-SUMPRODUCT(($Z$3:$AI$3&lt;AF$3)*($Z240:$AI240-$AJ240:$AS240))))</f>
        <v>0</v>
      </c>
      <c r="M240" s="42" t="n">
        <f aca="false">AQ240+MIN(AG240-AQ240,MAX(0,'Start Here'!$B$10-SUM($AJ240:$AS240)-SUMPRODUCT(($Z$3:$AI$3&lt;AG$3)*($Z240:$AI240-$AJ240:$AS240))))</f>
        <v>0</v>
      </c>
      <c r="N240" s="42" t="n">
        <f aca="false">AR240+MIN(AH240-AR240,MAX(0,'Start Here'!$B$10-SUM($AJ240:$AS240)-SUMPRODUCT(($Z$3:$AI$3&lt;AH$3)*($Z240:$AI240-$AJ240:$AS240))))</f>
        <v>0</v>
      </c>
      <c r="O240" s="42" t="n">
        <f aca="false">AS240+MIN(AI240-AS240,MAX(0,'Start Here'!$B$10-SUM($AJ240:$AS240)-SUMPRODUCT(($Z$3:$AI$3&lt;AI$3)*($Z240:$AI240-$AJ240:$AS240))))</f>
        <v>0</v>
      </c>
      <c r="P240" s="42" t="n">
        <f aca="false">ROUND(Z240-F240,2)</f>
        <v>0</v>
      </c>
      <c r="Q240" s="42" t="n">
        <f aca="false">ROUND(AA240-G240,2)</f>
        <v>0</v>
      </c>
      <c r="R240" s="42" t="n">
        <f aca="false">ROUND(AB240-H240,2)</f>
        <v>0</v>
      </c>
      <c r="S240" s="42" t="n">
        <f aca="false">ROUND(AC240-I240,2)</f>
        <v>0</v>
      </c>
      <c r="T240" s="42" t="n">
        <f aca="false">ROUND(AD240-J240,2)</f>
        <v>0</v>
      </c>
      <c r="U240" s="42" t="n">
        <f aca="false">ROUND(AE240-K240,2)</f>
        <v>0</v>
      </c>
      <c r="V240" s="42" t="n">
        <f aca="false">ROUND(AF240-L240,2)</f>
        <v>0</v>
      </c>
      <c r="W240" s="42" t="n">
        <f aca="false">ROUND(AG240-M240,2)</f>
        <v>0</v>
      </c>
      <c r="X240" s="42" t="n">
        <f aca="false">ROUND(AH240-N240,2)</f>
        <v>0</v>
      </c>
      <c r="Y240" s="42" t="n">
        <f aca="false">ROUND(AI240-O240,2)</f>
        <v>0</v>
      </c>
      <c r="Z240" s="56" t="n">
        <f aca="false">ROUND(P239*(1+N(Debts!$D$5)/12),2)</f>
        <v>0</v>
      </c>
      <c r="AA240" s="56" t="n">
        <f aca="false">ROUND(Q239*(1+N(Debts!$D$6)/12),2)</f>
        <v>0</v>
      </c>
      <c r="AB240" s="56" t="n">
        <f aca="false">ROUND(R239*(1+N(Debts!$D$7)/12),2)</f>
        <v>0</v>
      </c>
      <c r="AC240" s="56" t="n">
        <f aca="false">ROUND(S239*(1+N(Debts!$D$8)/12),2)</f>
        <v>0</v>
      </c>
      <c r="AD240" s="56" t="n">
        <f aca="false">ROUND(T239*(1+N(Debts!$D$9)/12),2)</f>
        <v>0</v>
      </c>
      <c r="AE240" s="56" t="n">
        <f aca="false">ROUND(U239*(1+N(Debts!$D$10)/12),2)</f>
        <v>0</v>
      </c>
      <c r="AF240" s="56" t="n">
        <f aca="false">ROUND(V239*(1+N(Debts!$D$11)/12),2)</f>
        <v>0</v>
      </c>
      <c r="AG240" s="56" t="n">
        <f aca="false">ROUND(W239*(1+N(Debts!$D$12)/12),2)</f>
        <v>0</v>
      </c>
      <c r="AH240" s="56" t="n">
        <f aca="false">ROUND(X239*(1+N(Debts!$D$13)/12),2)</f>
        <v>0</v>
      </c>
      <c r="AI240" s="56" t="n">
        <f aca="false">ROUND(Y239*(1+N(Debts!$D$14)/12),2)</f>
        <v>0</v>
      </c>
      <c r="AJ240" s="56" t="n">
        <f aca="false">MIN(Z240,MAX(0,N(Debts!$E$5)))</f>
        <v>0</v>
      </c>
      <c r="AK240" s="56" t="n">
        <f aca="false">MIN(AA240,MAX(0,N(Debts!$E$6)))</f>
        <v>0</v>
      </c>
      <c r="AL240" s="56" t="n">
        <f aca="false">MIN(AB240,MAX(0,N(Debts!$E$7)))</f>
        <v>0</v>
      </c>
      <c r="AM240" s="56" t="n">
        <f aca="false">MIN(AC240,MAX(0,N(Debts!$E$8)))</f>
        <v>0</v>
      </c>
      <c r="AN240" s="56" t="n">
        <f aca="false">MIN(AD240,MAX(0,N(Debts!$E$9)))</f>
        <v>0</v>
      </c>
      <c r="AO240" s="56" t="n">
        <f aca="false">MIN(AE240,MAX(0,N(Debts!$E$10)))</f>
        <v>0</v>
      </c>
      <c r="AP240" s="56" t="n">
        <f aca="false">MIN(AF240,MAX(0,N(Debts!$E$11)))</f>
        <v>0</v>
      </c>
      <c r="AQ240" s="56" t="n">
        <f aca="false">MIN(AG240,MAX(0,N(Debts!$E$12)))</f>
        <v>0</v>
      </c>
      <c r="AR240" s="56" t="n">
        <f aca="false">MIN(AH240,MAX(0,N(Debts!$E$13)))</f>
        <v>0</v>
      </c>
      <c r="AS240" s="56" t="n">
        <f aca="false">MIN(AI240,MAX(0,N(Debts!$E$14)))</f>
        <v>0</v>
      </c>
    </row>
    <row r="241" customFormat="false" ht="15" hidden="false" customHeight="false" outlineLevel="0" collapsed="false">
      <c r="A241" s="53" t="n">
        <v>237</v>
      </c>
      <c r="B241" s="54" t="n">
        <f aca="false">EDATE('Start Here'!$B$8,236)</f>
        <v>53509</v>
      </c>
      <c r="C241" s="42" t="n">
        <f aca="false">SUM(F241:O241)</f>
        <v>0</v>
      </c>
      <c r="D241" s="42" t="n">
        <f aca="false">ROUND(SUM($Z241:$AI241)-SUM(P240:Y240),2)</f>
        <v>0</v>
      </c>
      <c r="E241" s="55" t="n">
        <f aca="false">SUM(P241:Y241)</f>
        <v>0</v>
      </c>
      <c r="F241" s="42" t="n">
        <f aca="false">AJ241+MIN(Z241-AJ241,MAX(0,'Start Here'!$B$10-SUM($AJ241:$AS241)-SUMPRODUCT(($Z$3:$AI$3&lt;Z$3)*($Z241:$AI241-$AJ241:$AS241))))</f>
        <v>0</v>
      </c>
      <c r="G241" s="42" t="n">
        <f aca="false">AK241+MIN(AA241-AK241,MAX(0,'Start Here'!$B$10-SUM($AJ241:$AS241)-SUMPRODUCT(($Z$3:$AI$3&lt;AA$3)*($Z241:$AI241-$AJ241:$AS241))))</f>
        <v>0</v>
      </c>
      <c r="H241" s="42" t="n">
        <f aca="false">AL241+MIN(AB241-AL241,MAX(0,'Start Here'!$B$10-SUM($AJ241:$AS241)-SUMPRODUCT(($Z$3:$AI$3&lt;AB$3)*($Z241:$AI241-$AJ241:$AS241))))</f>
        <v>0</v>
      </c>
      <c r="I241" s="42" t="n">
        <f aca="false">AM241+MIN(AC241-AM241,MAX(0,'Start Here'!$B$10-SUM($AJ241:$AS241)-SUMPRODUCT(($Z$3:$AI$3&lt;AC$3)*($Z241:$AI241-$AJ241:$AS241))))</f>
        <v>0</v>
      </c>
      <c r="J241" s="42" t="n">
        <f aca="false">AN241+MIN(AD241-AN241,MAX(0,'Start Here'!$B$10-SUM($AJ241:$AS241)-SUMPRODUCT(($Z$3:$AI$3&lt;AD$3)*($Z241:$AI241-$AJ241:$AS241))))</f>
        <v>0</v>
      </c>
      <c r="K241" s="42" t="n">
        <f aca="false">AO241+MIN(AE241-AO241,MAX(0,'Start Here'!$B$10-SUM($AJ241:$AS241)-SUMPRODUCT(($Z$3:$AI$3&lt;AE$3)*($Z241:$AI241-$AJ241:$AS241))))</f>
        <v>0</v>
      </c>
      <c r="L241" s="42" t="n">
        <f aca="false">AP241+MIN(AF241-AP241,MAX(0,'Start Here'!$B$10-SUM($AJ241:$AS241)-SUMPRODUCT(($Z$3:$AI$3&lt;AF$3)*($Z241:$AI241-$AJ241:$AS241))))</f>
        <v>0</v>
      </c>
      <c r="M241" s="42" t="n">
        <f aca="false">AQ241+MIN(AG241-AQ241,MAX(0,'Start Here'!$B$10-SUM($AJ241:$AS241)-SUMPRODUCT(($Z$3:$AI$3&lt;AG$3)*($Z241:$AI241-$AJ241:$AS241))))</f>
        <v>0</v>
      </c>
      <c r="N241" s="42" t="n">
        <f aca="false">AR241+MIN(AH241-AR241,MAX(0,'Start Here'!$B$10-SUM($AJ241:$AS241)-SUMPRODUCT(($Z$3:$AI$3&lt;AH$3)*($Z241:$AI241-$AJ241:$AS241))))</f>
        <v>0</v>
      </c>
      <c r="O241" s="42" t="n">
        <f aca="false">AS241+MIN(AI241-AS241,MAX(0,'Start Here'!$B$10-SUM($AJ241:$AS241)-SUMPRODUCT(($Z$3:$AI$3&lt;AI$3)*($Z241:$AI241-$AJ241:$AS241))))</f>
        <v>0</v>
      </c>
      <c r="P241" s="42" t="n">
        <f aca="false">ROUND(Z241-F241,2)</f>
        <v>0</v>
      </c>
      <c r="Q241" s="42" t="n">
        <f aca="false">ROUND(AA241-G241,2)</f>
        <v>0</v>
      </c>
      <c r="R241" s="42" t="n">
        <f aca="false">ROUND(AB241-H241,2)</f>
        <v>0</v>
      </c>
      <c r="S241" s="42" t="n">
        <f aca="false">ROUND(AC241-I241,2)</f>
        <v>0</v>
      </c>
      <c r="T241" s="42" t="n">
        <f aca="false">ROUND(AD241-J241,2)</f>
        <v>0</v>
      </c>
      <c r="U241" s="42" t="n">
        <f aca="false">ROUND(AE241-K241,2)</f>
        <v>0</v>
      </c>
      <c r="V241" s="42" t="n">
        <f aca="false">ROUND(AF241-L241,2)</f>
        <v>0</v>
      </c>
      <c r="W241" s="42" t="n">
        <f aca="false">ROUND(AG241-M241,2)</f>
        <v>0</v>
      </c>
      <c r="X241" s="42" t="n">
        <f aca="false">ROUND(AH241-N241,2)</f>
        <v>0</v>
      </c>
      <c r="Y241" s="42" t="n">
        <f aca="false">ROUND(AI241-O241,2)</f>
        <v>0</v>
      </c>
      <c r="Z241" s="56" t="n">
        <f aca="false">ROUND(P240*(1+N(Debts!$D$5)/12),2)</f>
        <v>0</v>
      </c>
      <c r="AA241" s="56" t="n">
        <f aca="false">ROUND(Q240*(1+N(Debts!$D$6)/12),2)</f>
        <v>0</v>
      </c>
      <c r="AB241" s="56" t="n">
        <f aca="false">ROUND(R240*(1+N(Debts!$D$7)/12),2)</f>
        <v>0</v>
      </c>
      <c r="AC241" s="56" t="n">
        <f aca="false">ROUND(S240*(1+N(Debts!$D$8)/12),2)</f>
        <v>0</v>
      </c>
      <c r="AD241" s="56" t="n">
        <f aca="false">ROUND(T240*(1+N(Debts!$D$9)/12),2)</f>
        <v>0</v>
      </c>
      <c r="AE241" s="56" t="n">
        <f aca="false">ROUND(U240*(1+N(Debts!$D$10)/12),2)</f>
        <v>0</v>
      </c>
      <c r="AF241" s="56" t="n">
        <f aca="false">ROUND(V240*(1+N(Debts!$D$11)/12),2)</f>
        <v>0</v>
      </c>
      <c r="AG241" s="56" t="n">
        <f aca="false">ROUND(W240*(1+N(Debts!$D$12)/12),2)</f>
        <v>0</v>
      </c>
      <c r="AH241" s="56" t="n">
        <f aca="false">ROUND(X240*(1+N(Debts!$D$13)/12),2)</f>
        <v>0</v>
      </c>
      <c r="AI241" s="56" t="n">
        <f aca="false">ROUND(Y240*(1+N(Debts!$D$14)/12),2)</f>
        <v>0</v>
      </c>
      <c r="AJ241" s="56" t="n">
        <f aca="false">MIN(Z241,MAX(0,N(Debts!$E$5)))</f>
        <v>0</v>
      </c>
      <c r="AK241" s="56" t="n">
        <f aca="false">MIN(AA241,MAX(0,N(Debts!$E$6)))</f>
        <v>0</v>
      </c>
      <c r="AL241" s="56" t="n">
        <f aca="false">MIN(AB241,MAX(0,N(Debts!$E$7)))</f>
        <v>0</v>
      </c>
      <c r="AM241" s="56" t="n">
        <f aca="false">MIN(AC241,MAX(0,N(Debts!$E$8)))</f>
        <v>0</v>
      </c>
      <c r="AN241" s="56" t="n">
        <f aca="false">MIN(AD241,MAX(0,N(Debts!$E$9)))</f>
        <v>0</v>
      </c>
      <c r="AO241" s="56" t="n">
        <f aca="false">MIN(AE241,MAX(0,N(Debts!$E$10)))</f>
        <v>0</v>
      </c>
      <c r="AP241" s="56" t="n">
        <f aca="false">MIN(AF241,MAX(0,N(Debts!$E$11)))</f>
        <v>0</v>
      </c>
      <c r="AQ241" s="56" t="n">
        <f aca="false">MIN(AG241,MAX(0,N(Debts!$E$12)))</f>
        <v>0</v>
      </c>
      <c r="AR241" s="56" t="n">
        <f aca="false">MIN(AH241,MAX(0,N(Debts!$E$13)))</f>
        <v>0</v>
      </c>
      <c r="AS241" s="56" t="n">
        <f aca="false">MIN(AI241,MAX(0,N(Debts!$E$14)))</f>
        <v>0</v>
      </c>
    </row>
    <row r="242" customFormat="false" ht="15" hidden="false" customHeight="false" outlineLevel="0" collapsed="false">
      <c r="A242" s="53" t="n">
        <v>238</v>
      </c>
      <c r="B242" s="54" t="n">
        <f aca="false">EDATE('Start Here'!$B$8,237)</f>
        <v>53540</v>
      </c>
      <c r="C242" s="42" t="n">
        <f aca="false">SUM(F242:O242)</f>
        <v>0</v>
      </c>
      <c r="D242" s="42" t="n">
        <f aca="false">ROUND(SUM($Z242:$AI242)-SUM(P241:Y241),2)</f>
        <v>0</v>
      </c>
      <c r="E242" s="55" t="n">
        <f aca="false">SUM(P242:Y242)</f>
        <v>0</v>
      </c>
      <c r="F242" s="42" t="n">
        <f aca="false">AJ242+MIN(Z242-AJ242,MAX(0,'Start Here'!$B$10-SUM($AJ242:$AS242)-SUMPRODUCT(($Z$3:$AI$3&lt;Z$3)*($Z242:$AI242-$AJ242:$AS242))))</f>
        <v>0</v>
      </c>
      <c r="G242" s="42" t="n">
        <f aca="false">AK242+MIN(AA242-AK242,MAX(0,'Start Here'!$B$10-SUM($AJ242:$AS242)-SUMPRODUCT(($Z$3:$AI$3&lt;AA$3)*($Z242:$AI242-$AJ242:$AS242))))</f>
        <v>0</v>
      </c>
      <c r="H242" s="42" t="n">
        <f aca="false">AL242+MIN(AB242-AL242,MAX(0,'Start Here'!$B$10-SUM($AJ242:$AS242)-SUMPRODUCT(($Z$3:$AI$3&lt;AB$3)*($Z242:$AI242-$AJ242:$AS242))))</f>
        <v>0</v>
      </c>
      <c r="I242" s="42" t="n">
        <f aca="false">AM242+MIN(AC242-AM242,MAX(0,'Start Here'!$B$10-SUM($AJ242:$AS242)-SUMPRODUCT(($Z$3:$AI$3&lt;AC$3)*($Z242:$AI242-$AJ242:$AS242))))</f>
        <v>0</v>
      </c>
      <c r="J242" s="42" t="n">
        <f aca="false">AN242+MIN(AD242-AN242,MAX(0,'Start Here'!$B$10-SUM($AJ242:$AS242)-SUMPRODUCT(($Z$3:$AI$3&lt;AD$3)*($Z242:$AI242-$AJ242:$AS242))))</f>
        <v>0</v>
      </c>
      <c r="K242" s="42" t="n">
        <f aca="false">AO242+MIN(AE242-AO242,MAX(0,'Start Here'!$B$10-SUM($AJ242:$AS242)-SUMPRODUCT(($Z$3:$AI$3&lt;AE$3)*($Z242:$AI242-$AJ242:$AS242))))</f>
        <v>0</v>
      </c>
      <c r="L242" s="42" t="n">
        <f aca="false">AP242+MIN(AF242-AP242,MAX(0,'Start Here'!$B$10-SUM($AJ242:$AS242)-SUMPRODUCT(($Z$3:$AI$3&lt;AF$3)*($Z242:$AI242-$AJ242:$AS242))))</f>
        <v>0</v>
      </c>
      <c r="M242" s="42" t="n">
        <f aca="false">AQ242+MIN(AG242-AQ242,MAX(0,'Start Here'!$B$10-SUM($AJ242:$AS242)-SUMPRODUCT(($Z$3:$AI$3&lt;AG$3)*($Z242:$AI242-$AJ242:$AS242))))</f>
        <v>0</v>
      </c>
      <c r="N242" s="42" t="n">
        <f aca="false">AR242+MIN(AH242-AR242,MAX(0,'Start Here'!$B$10-SUM($AJ242:$AS242)-SUMPRODUCT(($Z$3:$AI$3&lt;AH$3)*($Z242:$AI242-$AJ242:$AS242))))</f>
        <v>0</v>
      </c>
      <c r="O242" s="42" t="n">
        <f aca="false">AS242+MIN(AI242-AS242,MAX(0,'Start Here'!$B$10-SUM($AJ242:$AS242)-SUMPRODUCT(($Z$3:$AI$3&lt;AI$3)*($Z242:$AI242-$AJ242:$AS242))))</f>
        <v>0</v>
      </c>
      <c r="P242" s="42" t="n">
        <f aca="false">ROUND(Z242-F242,2)</f>
        <v>0</v>
      </c>
      <c r="Q242" s="42" t="n">
        <f aca="false">ROUND(AA242-G242,2)</f>
        <v>0</v>
      </c>
      <c r="R242" s="42" t="n">
        <f aca="false">ROUND(AB242-H242,2)</f>
        <v>0</v>
      </c>
      <c r="S242" s="42" t="n">
        <f aca="false">ROUND(AC242-I242,2)</f>
        <v>0</v>
      </c>
      <c r="T242" s="42" t="n">
        <f aca="false">ROUND(AD242-J242,2)</f>
        <v>0</v>
      </c>
      <c r="U242" s="42" t="n">
        <f aca="false">ROUND(AE242-K242,2)</f>
        <v>0</v>
      </c>
      <c r="V242" s="42" t="n">
        <f aca="false">ROUND(AF242-L242,2)</f>
        <v>0</v>
      </c>
      <c r="W242" s="42" t="n">
        <f aca="false">ROUND(AG242-M242,2)</f>
        <v>0</v>
      </c>
      <c r="X242" s="42" t="n">
        <f aca="false">ROUND(AH242-N242,2)</f>
        <v>0</v>
      </c>
      <c r="Y242" s="42" t="n">
        <f aca="false">ROUND(AI242-O242,2)</f>
        <v>0</v>
      </c>
      <c r="Z242" s="56" t="n">
        <f aca="false">ROUND(P241*(1+N(Debts!$D$5)/12),2)</f>
        <v>0</v>
      </c>
      <c r="AA242" s="56" t="n">
        <f aca="false">ROUND(Q241*(1+N(Debts!$D$6)/12),2)</f>
        <v>0</v>
      </c>
      <c r="AB242" s="56" t="n">
        <f aca="false">ROUND(R241*(1+N(Debts!$D$7)/12),2)</f>
        <v>0</v>
      </c>
      <c r="AC242" s="56" t="n">
        <f aca="false">ROUND(S241*(1+N(Debts!$D$8)/12),2)</f>
        <v>0</v>
      </c>
      <c r="AD242" s="56" t="n">
        <f aca="false">ROUND(T241*(1+N(Debts!$D$9)/12),2)</f>
        <v>0</v>
      </c>
      <c r="AE242" s="56" t="n">
        <f aca="false">ROUND(U241*(1+N(Debts!$D$10)/12),2)</f>
        <v>0</v>
      </c>
      <c r="AF242" s="56" t="n">
        <f aca="false">ROUND(V241*(1+N(Debts!$D$11)/12),2)</f>
        <v>0</v>
      </c>
      <c r="AG242" s="56" t="n">
        <f aca="false">ROUND(W241*(1+N(Debts!$D$12)/12),2)</f>
        <v>0</v>
      </c>
      <c r="AH242" s="56" t="n">
        <f aca="false">ROUND(X241*(1+N(Debts!$D$13)/12),2)</f>
        <v>0</v>
      </c>
      <c r="AI242" s="56" t="n">
        <f aca="false">ROUND(Y241*(1+N(Debts!$D$14)/12),2)</f>
        <v>0</v>
      </c>
      <c r="AJ242" s="56" t="n">
        <f aca="false">MIN(Z242,MAX(0,N(Debts!$E$5)))</f>
        <v>0</v>
      </c>
      <c r="AK242" s="56" t="n">
        <f aca="false">MIN(AA242,MAX(0,N(Debts!$E$6)))</f>
        <v>0</v>
      </c>
      <c r="AL242" s="56" t="n">
        <f aca="false">MIN(AB242,MAX(0,N(Debts!$E$7)))</f>
        <v>0</v>
      </c>
      <c r="AM242" s="56" t="n">
        <f aca="false">MIN(AC242,MAX(0,N(Debts!$E$8)))</f>
        <v>0</v>
      </c>
      <c r="AN242" s="56" t="n">
        <f aca="false">MIN(AD242,MAX(0,N(Debts!$E$9)))</f>
        <v>0</v>
      </c>
      <c r="AO242" s="56" t="n">
        <f aca="false">MIN(AE242,MAX(0,N(Debts!$E$10)))</f>
        <v>0</v>
      </c>
      <c r="AP242" s="56" t="n">
        <f aca="false">MIN(AF242,MAX(0,N(Debts!$E$11)))</f>
        <v>0</v>
      </c>
      <c r="AQ242" s="56" t="n">
        <f aca="false">MIN(AG242,MAX(0,N(Debts!$E$12)))</f>
        <v>0</v>
      </c>
      <c r="AR242" s="56" t="n">
        <f aca="false">MIN(AH242,MAX(0,N(Debts!$E$13)))</f>
        <v>0</v>
      </c>
      <c r="AS242" s="56" t="n">
        <f aca="false">MIN(AI242,MAX(0,N(Debts!$E$14)))</f>
        <v>0</v>
      </c>
    </row>
    <row r="243" customFormat="false" ht="15" hidden="false" customHeight="false" outlineLevel="0" collapsed="false">
      <c r="A243" s="53" t="n">
        <v>239</v>
      </c>
      <c r="B243" s="54" t="n">
        <f aca="false">EDATE('Start Here'!$B$8,238)</f>
        <v>53571</v>
      </c>
      <c r="C243" s="42" t="n">
        <f aca="false">SUM(F243:O243)</f>
        <v>0</v>
      </c>
      <c r="D243" s="42" t="n">
        <f aca="false">ROUND(SUM($Z243:$AI243)-SUM(P242:Y242),2)</f>
        <v>0</v>
      </c>
      <c r="E243" s="55" t="n">
        <f aca="false">SUM(P243:Y243)</f>
        <v>0</v>
      </c>
      <c r="F243" s="42" t="n">
        <f aca="false">AJ243+MIN(Z243-AJ243,MAX(0,'Start Here'!$B$10-SUM($AJ243:$AS243)-SUMPRODUCT(($Z$3:$AI$3&lt;Z$3)*($Z243:$AI243-$AJ243:$AS243))))</f>
        <v>0</v>
      </c>
      <c r="G243" s="42" t="n">
        <f aca="false">AK243+MIN(AA243-AK243,MAX(0,'Start Here'!$B$10-SUM($AJ243:$AS243)-SUMPRODUCT(($Z$3:$AI$3&lt;AA$3)*($Z243:$AI243-$AJ243:$AS243))))</f>
        <v>0</v>
      </c>
      <c r="H243" s="42" t="n">
        <f aca="false">AL243+MIN(AB243-AL243,MAX(0,'Start Here'!$B$10-SUM($AJ243:$AS243)-SUMPRODUCT(($Z$3:$AI$3&lt;AB$3)*($Z243:$AI243-$AJ243:$AS243))))</f>
        <v>0</v>
      </c>
      <c r="I243" s="42" t="n">
        <f aca="false">AM243+MIN(AC243-AM243,MAX(0,'Start Here'!$B$10-SUM($AJ243:$AS243)-SUMPRODUCT(($Z$3:$AI$3&lt;AC$3)*($Z243:$AI243-$AJ243:$AS243))))</f>
        <v>0</v>
      </c>
      <c r="J243" s="42" t="n">
        <f aca="false">AN243+MIN(AD243-AN243,MAX(0,'Start Here'!$B$10-SUM($AJ243:$AS243)-SUMPRODUCT(($Z$3:$AI$3&lt;AD$3)*($Z243:$AI243-$AJ243:$AS243))))</f>
        <v>0</v>
      </c>
      <c r="K243" s="42" t="n">
        <f aca="false">AO243+MIN(AE243-AO243,MAX(0,'Start Here'!$B$10-SUM($AJ243:$AS243)-SUMPRODUCT(($Z$3:$AI$3&lt;AE$3)*($Z243:$AI243-$AJ243:$AS243))))</f>
        <v>0</v>
      </c>
      <c r="L243" s="42" t="n">
        <f aca="false">AP243+MIN(AF243-AP243,MAX(0,'Start Here'!$B$10-SUM($AJ243:$AS243)-SUMPRODUCT(($Z$3:$AI$3&lt;AF$3)*($Z243:$AI243-$AJ243:$AS243))))</f>
        <v>0</v>
      </c>
      <c r="M243" s="42" t="n">
        <f aca="false">AQ243+MIN(AG243-AQ243,MAX(0,'Start Here'!$B$10-SUM($AJ243:$AS243)-SUMPRODUCT(($Z$3:$AI$3&lt;AG$3)*($Z243:$AI243-$AJ243:$AS243))))</f>
        <v>0</v>
      </c>
      <c r="N243" s="42" t="n">
        <f aca="false">AR243+MIN(AH243-AR243,MAX(0,'Start Here'!$B$10-SUM($AJ243:$AS243)-SUMPRODUCT(($Z$3:$AI$3&lt;AH$3)*($Z243:$AI243-$AJ243:$AS243))))</f>
        <v>0</v>
      </c>
      <c r="O243" s="42" t="n">
        <f aca="false">AS243+MIN(AI243-AS243,MAX(0,'Start Here'!$B$10-SUM($AJ243:$AS243)-SUMPRODUCT(($Z$3:$AI$3&lt;AI$3)*($Z243:$AI243-$AJ243:$AS243))))</f>
        <v>0</v>
      </c>
      <c r="P243" s="42" t="n">
        <f aca="false">ROUND(Z243-F243,2)</f>
        <v>0</v>
      </c>
      <c r="Q243" s="42" t="n">
        <f aca="false">ROUND(AA243-G243,2)</f>
        <v>0</v>
      </c>
      <c r="R243" s="42" t="n">
        <f aca="false">ROUND(AB243-H243,2)</f>
        <v>0</v>
      </c>
      <c r="S243" s="42" t="n">
        <f aca="false">ROUND(AC243-I243,2)</f>
        <v>0</v>
      </c>
      <c r="T243" s="42" t="n">
        <f aca="false">ROUND(AD243-J243,2)</f>
        <v>0</v>
      </c>
      <c r="U243" s="42" t="n">
        <f aca="false">ROUND(AE243-K243,2)</f>
        <v>0</v>
      </c>
      <c r="V243" s="42" t="n">
        <f aca="false">ROUND(AF243-L243,2)</f>
        <v>0</v>
      </c>
      <c r="W243" s="42" t="n">
        <f aca="false">ROUND(AG243-M243,2)</f>
        <v>0</v>
      </c>
      <c r="X243" s="42" t="n">
        <f aca="false">ROUND(AH243-N243,2)</f>
        <v>0</v>
      </c>
      <c r="Y243" s="42" t="n">
        <f aca="false">ROUND(AI243-O243,2)</f>
        <v>0</v>
      </c>
      <c r="Z243" s="56" t="n">
        <f aca="false">ROUND(P242*(1+N(Debts!$D$5)/12),2)</f>
        <v>0</v>
      </c>
      <c r="AA243" s="56" t="n">
        <f aca="false">ROUND(Q242*(1+N(Debts!$D$6)/12),2)</f>
        <v>0</v>
      </c>
      <c r="AB243" s="56" t="n">
        <f aca="false">ROUND(R242*(1+N(Debts!$D$7)/12),2)</f>
        <v>0</v>
      </c>
      <c r="AC243" s="56" t="n">
        <f aca="false">ROUND(S242*(1+N(Debts!$D$8)/12),2)</f>
        <v>0</v>
      </c>
      <c r="AD243" s="56" t="n">
        <f aca="false">ROUND(T242*(1+N(Debts!$D$9)/12),2)</f>
        <v>0</v>
      </c>
      <c r="AE243" s="56" t="n">
        <f aca="false">ROUND(U242*(1+N(Debts!$D$10)/12),2)</f>
        <v>0</v>
      </c>
      <c r="AF243" s="56" t="n">
        <f aca="false">ROUND(V242*(1+N(Debts!$D$11)/12),2)</f>
        <v>0</v>
      </c>
      <c r="AG243" s="56" t="n">
        <f aca="false">ROUND(W242*(1+N(Debts!$D$12)/12),2)</f>
        <v>0</v>
      </c>
      <c r="AH243" s="56" t="n">
        <f aca="false">ROUND(X242*(1+N(Debts!$D$13)/12),2)</f>
        <v>0</v>
      </c>
      <c r="AI243" s="56" t="n">
        <f aca="false">ROUND(Y242*(1+N(Debts!$D$14)/12),2)</f>
        <v>0</v>
      </c>
      <c r="AJ243" s="56" t="n">
        <f aca="false">MIN(Z243,MAX(0,N(Debts!$E$5)))</f>
        <v>0</v>
      </c>
      <c r="AK243" s="56" t="n">
        <f aca="false">MIN(AA243,MAX(0,N(Debts!$E$6)))</f>
        <v>0</v>
      </c>
      <c r="AL243" s="56" t="n">
        <f aca="false">MIN(AB243,MAX(0,N(Debts!$E$7)))</f>
        <v>0</v>
      </c>
      <c r="AM243" s="56" t="n">
        <f aca="false">MIN(AC243,MAX(0,N(Debts!$E$8)))</f>
        <v>0</v>
      </c>
      <c r="AN243" s="56" t="n">
        <f aca="false">MIN(AD243,MAX(0,N(Debts!$E$9)))</f>
        <v>0</v>
      </c>
      <c r="AO243" s="56" t="n">
        <f aca="false">MIN(AE243,MAX(0,N(Debts!$E$10)))</f>
        <v>0</v>
      </c>
      <c r="AP243" s="56" t="n">
        <f aca="false">MIN(AF243,MAX(0,N(Debts!$E$11)))</f>
        <v>0</v>
      </c>
      <c r="AQ243" s="56" t="n">
        <f aca="false">MIN(AG243,MAX(0,N(Debts!$E$12)))</f>
        <v>0</v>
      </c>
      <c r="AR243" s="56" t="n">
        <f aca="false">MIN(AH243,MAX(0,N(Debts!$E$13)))</f>
        <v>0</v>
      </c>
      <c r="AS243" s="56" t="n">
        <f aca="false">MIN(AI243,MAX(0,N(Debts!$E$14)))</f>
        <v>0</v>
      </c>
    </row>
    <row r="244" customFormat="false" ht="15" hidden="false" customHeight="false" outlineLevel="0" collapsed="false">
      <c r="A244" s="53" t="n">
        <v>240</v>
      </c>
      <c r="B244" s="54" t="n">
        <f aca="false">EDATE('Start Here'!$B$8,239)</f>
        <v>53601</v>
      </c>
      <c r="C244" s="42" t="n">
        <f aca="false">SUM(F244:O244)</f>
        <v>0</v>
      </c>
      <c r="D244" s="42" t="n">
        <f aca="false">ROUND(SUM($Z244:$AI244)-SUM(P243:Y243),2)</f>
        <v>0</v>
      </c>
      <c r="E244" s="55" t="n">
        <f aca="false">SUM(P244:Y244)</f>
        <v>0</v>
      </c>
      <c r="F244" s="42" t="n">
        <f aca="false">AJ244+MIN(Z244-AJ244,MAX(0,'Start Here'!$B$10-SUM($AJ244:$AS244)-SUMPRODUCT(($Z$3:$AI$3&lt;Z$3)*($Z244:$AI244-$AJ244:$AS244))))</f>
        <v>0</v>
      </c>
      <c r="G244" s="42" t="n">
        <f aca="false">AK244+MIN(AA244-AK244,MAX(0,'Start Here'!$B$10-SUM($AJ244:$AS244)-SUMPRODUCT(($Z$3:$AI$3&lt;AA$3)*($Z244:$AI244-$AJ244:$AS244))))</f>
        <v>0</v>
      </c>
      <c r="H244" s="42" t="n">
        <f aca="false">AL244+MIN(AB244-AL244,MAX(0,'Start Here'!$B$10-SUM($AJ244:$AS244)-SUMPRODUCT(($Z$3:$AI$3&lt;AB$3)*($Z244:$AI244-$AJ244:$AS244))))</f>
        <v>0</v>
      </c>
      <c r="I244" s="42" t="n">
        <f aca="false">AM244+MIN(AC244-AM244,MAX(0,'Start Here'!$B$10-SUM($AJ244:$AS244)-SUMPRODUCT(($Z$3:$AI$3&lt;AC$3)*($Z244:$AI244-$AJ244:$AS244))))</f>
        <v>0</v>
      </c>
      <c r="J244" s="42" t="n">
        <f aca="false">AN244+MIN(AD244-AN244,MAX(0,'Start Here'!$B$10-SUM($AJ244:$AS244)-SUMPRODUCT(($Z$3:$AI$3&lt;AD$3)*($Z244:$AI244-$AJ244:$AS244))))</f>
        <v>0</v>
      </c>
      <c r="K244" s="42" t="n">
        <f aca="false">AO244+MIN(AE244-AO244,MAX(0,'Start Here'!$B$10-SUM($AJ244:$AS244)-SUMPRODUCT(($Z$3:$AI$3&lt;AE$3)*($Z244:$AI244-$AJ244:$AS244))))</f>
        <v>0</v>
      </c>
      <c r="L244" s="42" t="n">
        <f aca="false">AP244+MIN(AF244-AP244,MAX(0,'Start Here'!$B$10-SUM($AJ244:$AS244)-SUMPRODUCT(($Z$3:$AI$3&lt;AF$3)*($Z244:$AI244-$AJ244:$AS244))))</f>
        <v>0</v>
      </c>
      <c r="M244" s="42" t="n">
        <f aca="false">AQ244+MIN(AG244-AQ244,MAX(0,'Start Here'!$B$10-SUM($AJ244:$AS244)-SUMPRODUCT(($Z$3:$AI$3&lt;AG$3)*($Z244:$AI244-$AJ244:$AS244))))</f>
        <v>0</v>
      </c>
      <c r="N244" s="42" t="n">
        <f aca="false">AR244+MIN(AH244-AR244,MAX(0,'Start Here'!$B$10-SUM($AJ244:$AS244)-SUMPRODUCT(($Z$3:$AI$3&lt;AH$3)*($Z244:$AI244-$AJ244:$AS244))))</f>
        <v>0</v>
      </c>
      <c r="O244" s="42" t="n">
        <f aca="false">AS244+MIN(AI244-AS244,MAX(0,'Start Here'!$B$10-SUM($AJ244:$AS244)-SUMPRODUCT(($Z$3:$AI$3&lt;AI$3)*($Z244:$AI244-$AJ244:$AS244))))</f>
        <v>0</v>
      </c>
      <c r="P244" s="42" t="n">
        <f aca="false">ROUND(Z244-F244,2)</f>
        <v>0</v>
      </c>
      <c r="Q244" s="42" t="n">
        <f aca="false">ROUND(AA244-G244,2)</f>
        <v>0</v>
      </c>
      <c r="R244" s="42" t="n">
        <f aca="false">ROUND(AB244-H244,2)</f>
        <v>0</v>
      </c>
      <c r="S244" s="42" t="n">
        <f aca="false">ROUND(AC244-I244,2)</f>
        <v>0</v>
      </c>
      <c r="T244" s="42" t="n">
        <f aca="false">ROUND(AD244-J244,2)</f>
        <v>0</v>
      </c>
      <c r="U244" s="42" t="n">
        <f aca="false">ROUND(AE244-K244,2)</f>
        <v>0</v>
      </c>
      <c r="V244" s="42" t="n">
        <f aca="false">ROUND(AF244-L244,2)</f>
        <v>0</v>
      </c>
      <c r="W244" s="42" t="n">
        <f aca="false">ROUND(AG244-M244,2)</f>
        <v>0</v>
      </c>
      <c r="X244" s="42" t="n">
        <f aca="false">ROUND(AH244-N244,2)</f>
        <v>0</v>
      </c>
      <c r="Y244" s="42" t="n">
        <f aca="false">ROUND(AI244-O244,2)</f>
        <v>0</v>
      </c>
      <c r="Z244" s="56" t="n">
        <f aca="false">ROUND(P243*(1+N(Debts!$D$5)/12),2)</f>
        <v>0</v>
      </c>
      <c r="AA244" s="56" t="n">
        <f aca="false">ROUND(Q243*(1+N(Debts!$D$6)/12),2)</f>
        <v>0</v>
      </c>
      <c r="AB244" s="56" t="n">
        <f aca="false">ROUND(R243*(1+N(Debts!$D$7)/12),2)</f>
        <v>0</v>
      </c>
      <c r="AC244" s="56" t="n">
        <f aca="false">ROUND(S243*(1+N(Debts!$D$8)/12),2)</f>
        <v>0</v>
      </c>
      <c r="AD244" s="56" t="n">
        <f aca="false">ROUND(T243*(1+N(Debts!$D$9)/12),2)</f>
        <v>0</v>
      </c>
      <c r="AE244" s="56" t="n">
        <f aca="false">ROUND(U243*(1+N(Debts!$D$10)/12),2)</f>
        <v>0</v>
      </c>
      <c r="AF244" s="56" t="n">
        <f aca="false">ROUND(V243*(1+N(Debts!$D$11)/12),2)</f>
        <v>0</v>
      </c>
      <c r="AG244" s="56" t="n">
        <f aca="false">ROUND(W243*(1+N(Debts!$D$12)/12),2)</f>
        <v>0</v>
      </c>
      <c r="AH244" s="56" t="n">
        <f aca="false">ROUND(X243*(1+N(Debts!$D$13)/12),2)</f>
        <v>0</v>
      </c>
      <c r="AI244" s="56" t="n">
        <f aca="false">ROUND(Y243*(1+N(Debts!$D$14)/12),2)</f>
        <v>0</v>
      </c>
      <c r="AJ244" s="56" t="n">
        <f aca="false">MIN(Z244,MAX(0,N(Debts!$E$5)))</f>
        <v>0</v>
      </c>
      <c r="AK244" s="56" t="n">
        <f aca="false">MIN(AA244,MAX(0,N(Debts!$E$6)))</f>
        <v>0</v>
      </c>
      <c r="AL244" s="56" t="n">
        <f aca="false">MIN(AB244,MAX(0,N(Debts!$E$7)))</f>
        <v>0</v>
      </c>
      <c r="AM244" s="56" t="n">
        <f aca="false">MIN(AC244,MAX(0,N(Debts!$E$8)))</f>
        <v>0</v>
      </c>
      <c r="AN244" s="56" t="n">
        <f aca="false">MIN(AD244,MAX(0,N(Debts!$E$9)))</f>
        <v>0</v>
      </c>
      <c r="AO244" s="56" t="n">
        <f aca="false">MIN(AE244,MAX(0,N(Debts!$E$10)))</f>
        <v>0</v>
      </c>
      <c r="AP244" s="56" t="n">
        <f aca="false">MIN(AF244,MAX(0,N(Debts!$E$11)))</f>
        <v>0</v>
      </c>
      <c r="AQ244" s="56" t="n">
        <f aca="false">MIN(AG244,MAX(0,N(Debts!$E$12)))</f>
        <v>0</v>
      </c>
      <c r="AR244" s="56" t="n">
        <f aca="false">MIN(AH244,MAX(0,N(Debts!$E$13)))</f>
        <v>0</v>
      </c>
      <c r="AS244" s="56" t="n">
        <f aca="false">MIN(AI244,MAX(0,N(Debts!$E$14)))</f>
        <v>0</v>
      </c>
    </row>
    <row r="245" customFormat="false" ht="15" hidden="false" customHeight="false" outlineLevel="0" collapsed="false">
      <c r="A245" s="53" t="n">
        <v>241</v>
      </c>
      <c r="B245" s="54" t="n">
        <f aca="false">EDATE('Start Here'!$B$8,240)</f>
        <v>53632</v>
      </c>
      <c r="C245" s="42" t="n">
        <f aca="false">SUM(F245:O245)</f>
        <v>0</v>
      </c>
      <c r="D245" s="42" t="n">
        <f aca="false">ROUND(SUM($Z245:$AI245)-SUM(P244:Y244),2)</f>
        <v>0</v>
      </c>
      <c r="E245" s="55" t="n">
        <f aca="false">SUM(P245:Y245)</f>
        <v>0</v>
      </c>
      <c r="F245" s="42" t="n">
        <f aca="false">AJ245+MIN(Z245-AJ245,MAX(0,'Start Here'!$B$10-SUM($AJ245:$AS245)-SUMPRODUCT(($Z$3:$AI$3&lt;Z$3)*($Z245:$AI245-$AJ245:$AS245))))</f>
        <v>0</v>
      </c>
      <c r="G245" s="42" t="n">
        <f aca="false">AK245+MIN(AA245-AK245,MAX(0,'Start Here'!$B$10-SUM($AJ245:$AS245)-SUMPRODUCT(($Z$3:$AI$3&lt;AA$3)*($Z245:$AI245-$AJ245:$AS245))))</f>
        <v>0</v>
      </c>
      <c r="H245" s="42" t="n">
        <f aca="false">AL245+MIN(AB245-AL245,MAX(0,'Start Here'!$B$10-SUM($AJ245:$AS245)-SUMPRODUCT(($Z$3:$AI$3&lt;AB$3)*($Z245:$AI245-$AJ245:$AS245))))</f>
        <v>0</v>
      </c>
      <c r="I245" s="42" t="n">
        <f aca="false">AM245+MIN(AC245-AM245,MAX(0,'Start Here'!$B$10-SUM($AJ245:$AS245)-SUMPRODUCT(($Z$3:$AI$3&lt;AC$3)*($Z245:$AI245-$AJ245:$AS245))))</f>
        <v>0</v>
      </c>
      <c r="J245" s="42" t="n">
        <f aca="false">AN245+MIN(AD245-AN245,MAX(0,'Start Here'!$B$10-SUM($AJ245:$AS245)-SUMPRODUCT(($Z$3:$AI$3&lt;AD$3)*($Z245:$AI245-$AJ245:$AS245))))</f>
        <v>0</v>
      </c>
      <c r="K245" s="42" t="n">
        <f aca="false">AO245+MIN(AE245-AO245,MAX(0,'Start Here'!$B$10-SUM($AJ245:$AS245)-SUMPRODUCT(($Z$3:$AI$3&lt;AE$3)*($Z245:$AI245-$AJ245:$AS245))))</f>
        <v>0</v>
      </c>
      <c r="L245" s="42" t="n">
        <f aca="false">AP245+MIN(AF245-AP245,MAX(0,'Start Here'!$B$10-SUM($AJ245:$AS245)-SUMPRODUCT(($Z$3:$AI$3&lt;AF$3)*($Z245:$AI245-$AJ245:$AS245))))</f>
        <v>0</v>
      </c>
      <c r="M245" s="42" t="n">
        <f aca="false">AQ245+MIN(AG245-AQ245,MAX(0,'Start Here'!$B$10-SUM($AJ245:$AS245)-SUMPRODUCT(($Z$3:$AI$3&lt;AG$3)*($Z245:$AI245-$AJ245:$AS245))))</f>
        <v>0</v>
      </c>
      <c r="N245" s="42" t="n">
        <f aca="false">AR245+MIN(AH245-AR245,MAX(0,'Start Here'!$B$10-SUM($AJ245:$AS245)-SUMPRODUCT(($Z$3:$AI$3&lt;AH$3)*($Z245:$AI245-$AJ245:$AS245))))</f>
        <v>0</v>
      </c>
      <c r="O245" s="42" t="n">
        <f aca="false">AS245+MIN(AI245-AS245,MAX(0,'Start Here'!$B$10-SUM($AJ245:$AS245)-SUMPRODUCT(($Z$3:$AI$3&lt;AI$3)*($Z245:$AI245-$AJ245:$AS245))))</f>
        <v>0</v>
      </c>
      <c r="P245" s="42" t="n">
        <f aca="false">ROUND(Z245-F245,2)</f>
        <v>0</v>
      </c>
      <c r="Q245" s="42" t="n">
        <f aca="false">ROUND(AA245-G245,2)</f>
        <v>0</v>
      </c>
      <c r="R245" s="42" t="n">
        <f aca="false">ROUND(AB245-H245,2)</f>
        <v>0</v>
      </c>
      <c r="S245" s="42" t="n">
        <f aca="false">ROUND(AC245-I245,2)</f>
        <v>0</v>
      </c>
      <c r="T245" s="42" t="n">
        <f aca="false">ROUND(AD245-J245,2)</f>
        <v>0</v>
      </c>
      <c r="U245" s="42" t="n">
        <f aca="false">ROUND(AE245-K245,2)</f>
        <v>0</v>
      </c>
      <c r="V245" s="42" t="n">
        <f aca="false">ROUND(AF245-L245,2)</f>
        <v>0</v>
      </c>
      <c r="W245" s="42" t="n">
        <f aca="false">ROUND(AG245-M245,2)</f>
        <v>0</v>
      </c>
      <c r="X245" s="42" t="n">
        <f aca="false">ROUND(AH245-N245,2)</f>
        <v>0</v>
      </c>
      <c r="Y245" s="42" t="n">
        <f aca="false">ROUND(AI245-O245,2)</f>
        <v>0</v>
      </c>
      <c r="Z245" s="56" t="n">
        <f aca="false">ROUND(P244*(1+N(Debts!$D$5)/12),2)</f>
        <v>0</v>
      </c>
      <c r="AA245" s="56" t="n">
        <f aca="false">ROUND(Q244*(1+N(Debts!$D$6)/12),2)</f>
        <v>0</v>
      </c>
      <c r="AB245" s="56" t="n">
        <f aca="false">ROUND(R244*(1+N(Debts!$D$7)/12),2)</f>
        <v>0</v>
      </c>
      <c r="AC245" s="56" t="n">
        <f aca="false">ROUND(S244*(1+N(Debts!$D$8)/12),2)</f>
        <v>0</v>
      </c>
      <c r="AD245" s="56" t="n">
        <f aca="false">ROUND(T244*(1+N(Debts!$D$9)/12),2)</f>
        <v>0</v>
      </c>
      <c r="AE245" s="56" t="n">
        <f aca="false">ROUND(U244*(1+N(Debts!$D$10)/12),2)</f>
        <v>0</v>
      </c>
      <c r="AF245" s="56" t="n">
        <f aca="false">ROUND(V244*(1+N(Debts!$D$11)/12),2)</f>
        <v>0</v>
      </c>
      <c r="AG245" s="56" t="n">
        <f aca="false">ROUND(W244*(1+N(Debts!$D$12)/12),2)</f>
        <v>0</v>
      </c>
      <c r="AH245" s="56" t="n">
        <f aca="false">ROUND(X244*(1+N(Debts!$D$13)/12),2)</f>
        <v>0</v>
      </c>
      <c r="AI245" s="56" t="n">
        <f aca="false">ROUND(Y244*(1+N(Debts!$D$14)/12),2)</f>
        <v>0</v>
      </c>
      <c r="AJ245" s="56" t="n">
        <f aca="false">MIN(Z245,MAX(0,N(Debts!$E$5)))</f>
        <v>0</v>
      </c>
      <c r="AK245" s="56" t="n">
        <f aca="false">MIN(AA245,MAX(0,N(Debts!$E$6)))</f>
        <v>0</v>
      </c>
      <c r="AL245" s="56" t="n">
        <f aca="false">MIN(AB245,MAX(0,N(Debts!$E$7)))</f>
        <v>0</v>
      </c>
      <c r="AM245" s="56" t="n">
        <f aca="false">MIN(AC245,MAX(0,N(Debts!$E$8)))</f>
        <v>0</v>
      </c>
      <c r="AN245" s="56" t="n">
        <f aca="false">MIN(AD245,MAX(0,N(Debts!$E$9)))</f>
        <v>0</v>
      </c>
      <c r="AO245" s="56" t="n">
        <f aca="false">MIN(AE245,MAX(0,N(Debts!$E$10)))</f>
        <v>0</v>
      </c>
      <c r="AP245" s="56" t="n">
        <f aca="false">MIN(AF245,MAX(0,N(Debts!$E$11)))</f>
        <v>0</v>
      </c>
      <c r="AQ245" s="56" t="n">
        <f aca="false">MIN(AG245,MAX(0,N(Debts!$E$12)))</f>
        <v>0</v>
      </c>
      <c r="AR245" s="56" t="n">
        <f aca="false">MIN(AH245,MAX(0,N(Debts!$E$13)))</f>
        <v>0</v>
      </c>
      <c r="AS245" s="56" t="n">
        <f aca="false">MIN(AI245,MAX(0,N(Debts!$E$14)))</f>
        <v>0</v>
      </c>
    </row>
    <row r="246" customFormat="false" ht="15" hidden="false" customHeight="false" outlineLevel="0" collapsed="false">
      <c r="A246" s="53" t="n">
        <v>242</v>
      </c>
      <c r="B246" s="54" t="n">
        <f aca="false">EDATE('Start Here'!$B$8,241)</f>
        <v>53662</v>
      </c>
      <c r="C246" s="42" t="n">
        <f aca="false">SUM(F246:O246)</f>
        <v>0</v>
      </c>
      <c r="D246" s="42" t="n">
        <f aca="false">ROUND(SUM($Z246:$AI246)-SUM(P245:Y245),2)</f>
        <v>0</v>
      </c>
      <c r="E246" s="55" t="n">
        <f aca="false">SUM(P246:Y246)</f>
        <v>0</v>
      </c>
      <c r="F246" s="42" t="n">
        <f aca="false">AJ246+MIN(Z246-AJ246,MAX(0,'Start Here'!$B$10-SUM($AJ246:$AS246)-SUMPRODUCT(($Z$3:$AI$3&lt;Z$3)*($Z246:$AI246-$AJ246:$AS246))))</f>
        <v>0</v>
      </c>
      <c r="G246" s="42" t="n">
        <f aca="false">AK246+MIN(AA246-AK246,MAX(0,'Start Here'!$B$10-SUM($AJ246:$AS246)-SUMPRODUCT(($Z$3:$AI$3&lt;AA$3)*($Z246:$AI246-$AJ246:$AS246))))</f>
        <v>0</v>
      </c>
      <c r="H246" s="42" t="n">
        <f aca="false">AL246+MIN(AB246-AL246,MAX(0,'Start Here'!$B$10-SUM($AJ246:$AS246)-SUMPRODUCT(($Z$3:$AI$3&lt;AB$3)*($Z246:$AI246-$AJ246:$AS246))))</f>
        <v>0</v>
      </c>
      <c r="I246" s="42" t="n">
        <f aca="false">AM246+MIN(AC246-AM246,MAX(0,'Start Here'!$B$10-SUM($AJ246:$AS246)-SUMPRODUCT(($Z$3:$AI$3&lt;AC$3)*($Z246:$AI246-$AJ246:$AS246))))</f>
        <v>0</v>
      </c>
      <c r="J246" s="42" t="n">
        <f aca="false">AN246+MIN(AD246-AN246,MAX(0,'Start Here'!$B$10-SUM($AJ246:$AS246)-SUMPRODUCT(($Z$3:$AI$3&lt;AD$3)*($Z246:$AI246-$AJ246:$AS246))))</f>
        <v>0</v>
      </c>
      <c r="K246" s="42" t="n">
        <f aca="false">AO246+MIN(AE246-AO246,MAX(0,'Start Here'!$B$10-SUM($AJ246:$AS246)-SUMPRODUCT(($Z$3:$AI$3&lt;AE$3)*($Z246:$AI246-$AJ246:$AS246))))</f>
        <v>0</v>
      </c>
      <c r="L246" s="42" t="n">
        <f aca="false">AP246+MIN(AF246-AP246,MAX(0,'Start Here'!$B$10-SUM($AJ246:$AS246)-SUMPRODUCT(($Z$3:$AI$3&lt;AF$3)*($Z246:$AI246-$AJ246:$AS246))))</f>
        <v>0</v>
      </c>
      <c r="M246" s="42" t="n">
        <f aca="false">AQ246+MIN(AG246-AQ246,MAX(0,'Start Here'!$B$10-SUM($AJ246:$AS246)-SUMPRODUCT(($Z$3:$AI$3&lt;AG$3)*($Z246:$AI246-$AJ246:$AS246))))</f>
        <v>0</v>
      </c>
      <c r="N246" s="42" t="n">
        <f aca="false">AR246+MIN(AH246-AR246,MAX(0,'Start Here'!$B$10-SUM($AJ246:$AS246)-SUMPRODUCT(($Z$3:$AI$3&lt;AH$3)*($Z246:$AI246-$AJ246:$AS246))))</f>
        <v>0</v>
      </c>
      <c r="O246" s="42" t="n">
        <f aca="false">AS246+MIN(AI246-AS246,MAX(0,'Start Here'!$B$10-SUM($AJ246:$AS246)-SUMPRODUCT(($Z$3:$AI$3&lt;AI$3)*($Z246:$AI246-$AJ246:$AS246))))</f>
        <v>0</v>
      </c>
      <c r="P246" s="42" t="n">
        <f aca="false">ROUND(Z246-F246,2)</f>
        <v>0</v>
      </c>
      <c r="Q246" s="42" t="n">
        <f aca="false">ROUND(AA246-G246,2)</f>
        <v>0</v>
      </c>
      <c r="R246" s="42" t="n">
        <f aca="false">ROUND(AB246-H246,2)</f>
        <v>0</v>
      </c>
      <c r="S246" s="42" t="n">
        <f aca="false">ROUND(AC246-I246,2)</f>
        <v>0</v>
      </c>
      <c r="T246" s="42" t="n">
        <f aca="false">ROUND(AD246-J246,2)</f>
        <v>0</v>
      </c>
      <c r="U246" s="42" t="n">
        <f aca="false">ROUND(AE246-K246,2)</f>
        <v>0</v>
      </c>
      <c r="V246" s="42" t="n">
        <f aca="false">ROUND(AF246-L246,2)</f>
        <v>0</v>
      </c>
      <c r="W246" s="42" t="n">
        <f aca="false">ROUND(AG246-M246,2)</f>
        <v>0</v>
      </c>
      <c r="X246" s="42" t="n">
        <f aca="false">ROUND(AH246-N246,2)</f>
        <v>0</v>
      </c>
      <c r="Y246" s="42" t="n">
        <f aca="false">ROUND(AI246-O246,2)</f>
        <v>0</v>
      </c>
      <c r="Z246" s="56" t="n">
        <f aca="false">ROUND(P245*(1+N(Debts!$D$5)/12),2)</f>
        <v>0</v>
      </c>
      <c r="AA246" s="56" t="n">
        <f aca="false">ROUND(Q245*(1+N(Debts!$D$6)/12),2)</f>
        <v>0</v>
      </c>
      <c r="AB246" s="56" t="n">
        <f aca="false">ROUND(R245*(1+N(Debts!$D$7)/12),2)</f>
        <v>0</v>
      </c>
      <c r="AC246" s="56" t="n">
        <f aca="false">ROUND(S245*(1+N(Debts!$D$8)/12),2)</f>
        <v>0</v>
      </c>
      <c r="AD246" s="56" t="n">
        <f aca="false">ROUND(T245*(1+N(Debts!$D$9)/12),2)</f>
        <v>0</v>
      </c>
      <c r="AE246" s="56" t="n">
        <f aca="false">ROUND(U245*(1+N(Debts!$D$10)/12),2)</f>
        <v>0</v>
      </c>
      <c r="AF246" s="56" t="n">
        <f aca="false">ROUND(V245*(1+N(Debts!$D$11)/12),2)</f>
        <v>0</v>
      </c>
      <c r="AG246" s="56" t="n">
        <f aca="false">ROUND(W245*(1+N(Debts!$D$12)/12),2)</f>
        <v>0</v>
      </c>
      <c r="AH246" s="56" t="n">
        <f aca="false">ROUND(X245*(1+N(Debts!$D$13)/12),2)</f>
        <v>0</v>
      </c>
      <c r="AI246" s="56" t="n">
        <f aca="false">ROUND(Y245*(1+N(Debts!$D$14)/12),2)</f>
        <v>0</v>
      </c>
      <c r="AJ246" s="56" t="n">
        <f aca="false">MIN(Z246,MAX(0,N(Debts!$E$5)))</f>
        <v>0</v>
      </c>
      <c r="AK246" s="56" t="n">
        <f aca="false">MIN(AA246,MAX(0,N(Debts!$E$6)))</f>
        <v>0</v>
      </c>
      <c r="AL246" s="56" t="n">
        <f aca="false">MIN(AB246,MAX(0,N(Debts!$E$7)))</f>
        <v>0</v>
      </c>
      <c r="AM246" s="56" t="n">
        <f aca="false">MIN(AC246,MAX(0,N(Debts!$E$8)))</f>
        <v>0</v>
      </c>
      <c r="AN246" s="56" t="n">
        <f aca="false">MIN(AD246,MAX(0,N(Debts!$E$9)))</f>
        <v>0</v>
      </c>
      <c r="AO246" s="56" t="n">
        <f aca="false">MIN(AE246,MAX(0,N(Debts!$E$10)))</f>
        <v>0</v>
      </c>
      <c r="AP246" s="56" t="n">
        <f aca="false">MIN(AF246,MAX(0,N(Debts!$E$11)))</f>
        <v>0</v>
      </c>
      <c r="AQ246" s="56" t="n">
        <f aca="false">MIN(AG246,MAX(0,N(Debts!$E$12)))</f>
        <v>0</v>
      </c>
      <c r="AR246" s="56" t="n">
        <f aca="false">MIN(AH246,MAX(0,N(Debts!$E$13)))</f>
        <v>0</v>
      </c>
      <c r="AS246" s="56" t="n">
        <f aca="false">MIN(AI246,MAX(0,N(Debts!$E$14)))</f>
        <v>0</v>
      </c>
    </row>
    <row r="247" customFormat="false" ht="15" hidden="false" customHeight="false" outlineLevel="0" collapsed="false">
      <c r="A247" s="53" t="n">
        <v>243</v>
      </c>
      <c r="B247" s="54" t="n">
        <f aca="false">EDATE('Start Here'!$B$8,242)</f>
        <v>53693</v>
      </c>
      <c r="C247" s="42" t="n">
        <f aca="false">SUM(F247:O247)</f>
        <v>0</v>
      </c>
      <c r="D247" s="42" t="n">
        <f aca="false">ROUND(SUM($Z247:$AI247)-SUM(P246:Y246),2)</f>
        <v>0</v>
      </c>
      <c r="E247" s="55" t="n">
        <f aca="false">SUM(P247:Y247)</f>
        <v>0</v>
      </c>
      <c r="F247" s="42" t="n">
        <f aca="false">AJ247+MIN(Z247-AJ247,MAX(0,'Start Here'!$B$10-SUM($AJ247:$AS247)-SUMPRODUCT(($Z$3:$AI$3&lt;Z$3)*($Z247:$AI247-$AJ247:$AS247))))</f>
        <v>0</v>
      </c>
      <c r="G247" s="42" t="n">
        <f aca="false">AK247+MIN(AA247-AK247,MAX(0,'Start Here'!$B$10-SUM($AJ247:$AS247)-SUMPRODUCT(($Z$3:$AI$3&lt;AA$3)*($Z247:$AI247-$AJ247:$AS247))))</f>
        <v>0</v>
      </c>
      <c r="H247" s="42" t="n">
        <f aca="false">AL247+MIN(AB247-AL247,MAX(0,'Start Here'!$B$10-SUM($AJ247:$AS247)-SUMPRODUCT(($Z$3:$AI$3&lt;AB$3)*($Z247:$AI247-$AJ247:$AS247))))</f>
        <v>0</v>
      </c>
      <c r="I247" s="42" t="n">
        <f aca="false">AM247+MIN(AC247-AM247,MAX(0,'Start Here'!$B$10-SUM($AJ247:$AS247)-SUMPRODUCT(($Z$3:$AI$3&lt;AC$3)*($Z247:$AI247-$AJ247:$AS247))))</f>
        <v>0</v>
      </c>
      <c r="J247" s="42" t="n">
        <f aca="false">AN247+MIN(AD247-AN247,MAX(0,'Start Here'!$B$10-SUM($AJ247:$AS247)-SUMPRODUCT(($Z$3:$AI$3&lt;AD$3)*($Z247:$AI247-$AJ247:$AS247))))</f>
        <v>0</v>
      </c>
      <c r="K247" s="42" t="n">
        <f aca="false">AO247+MIN(AE247-AO247,MAX(0,'Start Here'!$B$10-SUM($AJ247:$AS247)-SUMPRODUCT(($Z$3:$AI$3&lt;AE$3)*($Z247:$AI247-$AJ247:$AS247))))</f>
        <v>0</v>
      </c>
      <c r="L247" s="42" t="n">
        <f aca="false">AP247+MIN(AF247-AP247,MAX(0,'Start Here'!$B$10-SUM($AJ247:$AS247)-SUMPRODUCT(($Z$3:$AI$3&lt;AF$3)*($Z247:$AI247-$AJ247:$AS247))))</f>
        <v>0</v>
      </c>
      <c r="M247" s="42" t="n">
        <f aca="false">AQ247+MIN(AG247-AQ247,MAX(0,'Start Here'!$B$10-SUM($AJ247:$AS247)-SUMPRODUCT(($Z$3:$AI$3&lt;AG$3)*($Z247:$AI247-$AJ247:$AS247))))</f>
        <v>0</v>
      </c>
      <c r="N247" s="42" t="n">
        <f aca="false">AR247+MIN(AH247-AR247,MAX(0,'Start Here'!$B$10-SUM($AJ247:$AS247)-SUMPRODUCT(($Z$3:$AI$3&lt;AH$3)*($Z247:$AI247-$AJ247:$AS247))))</f>
        <v>0</v>
      </c>
      <c r="O247" s="42" t="n">
        <f aca="false">AS247+MIN(AI247-AS247,MAX(0,'Start Here'!$B$10-SUM($AJ247:$AS247)-SUMPRODUCT(($Z$3:$AI$3&lt;AI$3)*($Z247:$AI247-$AJ247:$AS247))))</f>
        <v>0</v>
      </c>
      <c r="P247" s="42" t="n">
        <f aca="false">ROUND(Z247-F247,2)</f>
        <v>0</v>
      </c>
      <c r="Q247" s="42" t="n">
        <f aca="false">ROUND(AA247-G247,2)</f>
        <v>0</v>
      </c>
      <c r="R247" s="42" t="n">
        <f aca="false">ROUND(AB247-H247,2)</f>
        <v>0</v>
      </c>
      <c r="S247" s="42" t="n">
        <f aca="false">ROUND(AC247-I247,2)</f>
        <v>0</v>
      </c>
      <c r="T247" s="42" t="n">
        <f aca="false">ROUND(AD247-J247,2)</f>
        <v>0</v>
      </c>
      <c r="U247" s="42" t="n">
        <f aca="false">ROUND(AE247-K247,2)</f>
        <v>0</v>
      </c>
      <c r="V247" s="42" t="n">
        <f aca="false">ROUND(AF247-L247,2)</f>
        <v>0</v>
      </c>
      <c r="W247" s="42" t="n">
        <f aca="false">ROUND(AG247-M247,2)</f>
        <v>0</v>
      </c>
      <c r="X247" s="42" t="n">
        <f aca="false">ROUND(AH247-N247,2)</f>
        <v>0</v>
      </c>
      <c r="Y247" s="42" t="n">
        <f aca="false">ROUND(AI247-O247,2)</f>
        <v>0</v>
      </c>
      <c r="Z247" s="56" t="n">
        <f aca="false">ROUND(P246*(1+N(Debts!$D$5)/12),2)</f>
        <v>0</v>
      </c>
      <c r="AA247" s="56" t="n">
        <f aca="false">ROUND(Q246*(1+N(Debts!$D$6)/12),2)</f>
        <v>0</v>
      </c>
      <c r="AB247" s="56" t="n">
        <f aca="false">ROUND(R246*(1+N(Debts!$D$7)/12),2)</f>
        <v>0</v>
      </c>
      <c r="AC247" s="56" t="n">
        <f aca="false">ROUND(S246*(1+N(Debts!$D$8)/12),2)</f>
        <v>0</v>
      </c>
      <c r="AD247" s="56" t="n">
        <f aca="false">ROUND(T246*(1+N(Debts!$D$9)/12),2)</f>
        <v>0</v>
      </c>
      <c r="AE247" s="56" t="n">
        <f aca="false">ROUND(U246*(1+N(Debts!$D$10)/12),2)</f>
        <v>0</v>
      </c>
      <c r="AF247" s="56" t="n">
        <f aca="false">ROUND(V246*(1+N(Debts!$D$11)/12),2)</f>
        <v>0</v>
      </c>
      <c r="AG247" s="56" t="n">
        <f aca="false">ROUND(W246*(1+N(Debts!$D$12)/12),2)</f>
        <v>0</v>
      </c>
      <c r="AH247" s="56" t="n">
        <f aca="false">ROUND(X246*(1+N(Debts!$D$13)/12),2)</f>
        <v>0</v>
      </c>
      <c r="AI247" s="56" t="n">
        <f aca="false">ROUND(Y246*(1+N(Debts!$D$14)/12),2)</f>
        <v>0</v>
      </c>
      <c r="AJ247" s="56" t="n">
        <f aca="false">MIN(Z247,MAX(0,N(Debts!$E$5)))</f>
        <v>0</v>
      </c>
      <c r="AK247" s="56" t="n">
        <f aca="false">MIN(AA247,MAX(0,N(Debts!$E$6)))</f>
        <v>0</v>
      </c>
      <c r="AL247" s="56" t="n">
        <f aca="false">MIN(AB247,MAX(0,N(Debts!$E$7)))</f>
        <v>0</v>
      </c>
      <c r="AM247" s="56" t="n">
        <f aca="false">MIN(AC247,MAX(0,N(Debts!$E$8)))</f>
        <v>0</v>
      </c>
      <c r="AN247" s="56" t="n">
        <f aca="false">MIN(AD247,MAX(0,N(Debts!$E$9)))</f>
        <v>0</v>
      </c>
      <c r="AO247" s="56" t="n">
        <f aca="false">MIN(AE247,MAX(0,N(Debts!$E$10)))</f>
        <v>0</v>
      </c>
      <c r="AP247" s="56" t="n">
        <f aca="false">MIN(AF247,MAX(0,N(Debts!$E$11)))</f>
        <v>0</v>
      </c>
      <c r="AQ247" s="56" t="n">
        <f aca="false">MIN(AG247,MAX(0,N(Debts!$E$12)))</f>
        <v>0</v>
      </c>
      <c r="AR247" s="56" t="n">
        <f aca="false">MIN(AH247,MAX(0,N(Debts!$E$13)))</f>
        <v>0</v>
      </c>
      <c r="AS247" s="56" t="n">
        <f aca="false">MIN(AI247,MAX(0,N(Debts!$E$14)))</f>
        <v>0</v>
      </c>
    </row>
    <row r="248" customFormat="false" ht="15" hidden="false" customHeight="false" outlineLevel="0" collapsed="false">
      <c r="A248" s="53" t="n">
        <v>244</v>
      </c>
      <c r="B248" s="54" t="n">
        <f aca="false">EDATE('Start Here'!$B$8,243)</f>
        <v>53724</v>
      </c>
      <c r="C248" s="42" t="n">
        <f aca="false">SUM(F248:O248)</f>
        <v>0</v>
      </c>
      <c r="D248" s="42" t="n">
        <f aca="false">ROUND(SUM($Z248:$AI248)-SUM(P247:Y247),2)</f>
        <v>0</v>
      </c>
      <c r="E248" s="55" t="n">
        <f aca="false">SUM(P248:Y248)</f>
        <v>0</v>
      </c>
      <c r="F248" s="42" t="n">
        <f aca="false">AJ248+MIN(Z248-AJ248,MAX(0,'Start Here'!$B$10-SUM($AJ248:$AS248)-SUMPRODUCT(($Z$3:$AI$3&lt;Z$3)*($Z248:$AI248-$AJ248:$AS248))))</f>
        <v>0</v>
      </c>
      <c r="G248" s="42" t="n">
        <f aca="false">AK248+MIN(AA248-AK248,MAX(0,'Start Here'!$B$10-SUM($AJ248:$AS248)-SUMPRODUCT(($Z$3:$AI$3&lt;AA$3)*($Z248:$AI248-$AJ248:$AS248))))</f>
        <v>0</v>
      </c>
      <c r="H248" s="42" t="n">
        <f aca="false">AL248+MIN(AB248-AL248,MAX(0,'Start Here'!$B$10-SUM($AJ248:$AS248)-SUMPRODUCT(($Z$3:$AI$3&lt;AB$3)*($Z248:$AI248-$AJ248:$AS248))))</f>
        <v>0</v>
      </c>
      <c r="I248" s="42" t="n">
        <f aca="false">AM248+MIN(AC248-AM248,MAX(0,'Start Here'!$B$10-SUM($AJ248:$AS248)-SUMPRODUCT(($Z$3:$AI$3&lt;AC$3)*($Z248:$AI248-$AJ248:$AS248))))</f>
        <v>0</v>
      </c>
      <c r="J248" s="42" t="n">
        <f aca="false">AN248+MIN(AD248-AN248,MAX(0,'Start Here'!$B$10-SUM($AJ248:$AS248)-SUMPRODUCT(($Z$3:$AI$3&lt;AD$3)*($Z248:$AI248-$AJ248:$AS248))))</f>
        <v>0</v>
      </c>
      <c r="K248" s="42" t="n">
        <f aca="false">AO248+MIN(AE248-AO248,MAX(0,'Start Here'!$B$10-SUM($AJ248:$AS248)-SUMPRODUCT(($Z$3:$AI$3&lt;AE$3)*($Z248:$AI248-$AJ248:$AS248))))</f>
        <v>0</v>
      </c>
      <c r="L248" s="42" t="n">
        <f aca="false">AP248+MIN(AF248-AP248,MAX(0,'Start Here'!$B$10-SUM($AJ248:$AS248)-SUMPRODUCT(($Z$3:$AI$3&lt;AF$3)*($Z248:$AI248-$AJ248:$AS248))))</f>
        <v>0</v>
      </c>
      <c r="M248" s="42" t="n">
        <f aca="false">AQ248+MIN(AG248-AQ248,MAX(0,'Start Here'!$B$10-SUM($AJ248:$AS248)-SUMPRODUCT(($Z$3:$AI$3&lt;AG$3)*($Z248:$AI248-$AJ248:$AS248))))</f>
        <v>0</v>
      </c>
      <c r="N248" s="42" t="n">
        <f aca="false">AR248+MIN(AH248-AR248,MAX(0,'Start Here'!$B$10-SUM($AJ248:$AS248)-SUMPRODUCT(($Z$3:$AI$3&lt;AH$3)*($Z248:$AI248-$AJ248:$AS248))))</f>
        <v>0</v>
      </c>
      <c r="O248" s="42" t="n">
        <f aca="false">AS248+MIN(AI248-AS248,MAX(0,'Start Here'!$B$10-SUM($AJ248:$AS248)-SUMPRODUCT(($Z$3:$AI$3&lt;AI$3)*($Z248:$AI248-$AJ248:$AS248))))</f>
        <v>0</v>
      </c>
      <c r="P248" s="42" t="n">
        <f aca="false">ROUND(Z248-F248,2)</f>
        <v>0</v>
      </c>
      <c r="Q248" s="42" t="n">
        <f aca="false">ROUND(AA248-G248,2)</f>
        <v>0</v>
      </c>
      <c r="R248" s="42" t="n">
        <f aca="false">ROUND(AB248-H248,2)</f>
        <v>0</v>
      </c>
      <c r="S248" s="42" t="n">
        <f aca="false">ROUND(AC248-I248,2)</f>
        <v>0</v>
      </c>
      <c r="T248" s="42" t="n">
        <f aca="false">ROUND(AD248-J248,2)</f>
        <v>0</v>
      </c>
      <c r="U248" s="42" t="n">
        <f aca="false">ROUND(AE248-K248,2)</f>
        <v>0</v>
      </c>
      <c r="V248" s="42" t="n">
        <f aca="false">ROUND(AF248-L248,2)</f>
        <v>0</v>
      </c>
      <c r="W248" s="42" t="n">
        <f aca="false">ROUND(AG248-M248,2)</f>
        <v>0</v>
      </c>
      <c r="X248" s="42" t="n">
        <f aca="false">ROUND(AH248-N248,2)</f>
        <v>0</v>
      </c>
      <c r="Y248" s="42" t="n">
        <f aca="false">ROUND(AI248-O248,2)</f>
        <v>0</v>
      </c>
      <c r="Z248" s="56" t="n">
        <f aca="false">ROUND(P247*(1+N(Debts!$D$5)/12),2)</f>
        <v>0</v>
      </c>
      <c r="AA248" s="56" t="n">
        <f aca="false">ROUND(Q247*(1+N(Debts!$D$6)/12),2)</f>
        <v>0</v>
      </c>
      <c r="AB248" s="56" t="n">
        <f aca="false">ROUND(R247*(1+N(Debts!$D$7)/12),2)</f>
        <v>0</v>
      </c>
      <c r="AC248" s="56" t="n">
        <f aca="false">ROUND(S247*(1+N(Debts!$D$8)/12),2)</f>
        <v>0</v>
      </c>
      <c r="AD248" s="56" t="n">
        <f aca="false">ROUND(T247*(1+N(Debts!$D$9)/12),2)</f>
        <v>0</v>
      </c>
      <c r="AE248" s="56" t="n">
        <f aca="false">ROUND(U247*(1+N(Debts!$D$10)/12),2)</f>
        <v>0</v>
      </c>
      <c r="AF248" s="56" t="n">
        <f aca="false">ROUND(V247*(1+N(Debts!$D$11)/12),2)</f>
        <v>0</v>
      </c>
      <c r="AG248" s="56" t="n">
        <f aca="false">ROUND(W247*(1+N(Debts!$D$12)/12),2)</f>
        <v>0</v>
      </c>
      <c r="AH248" s="56" t="n">
        <f aca="false">ROUND(X247*(1+N(Debts!$D$13)/12),2)</f>
        <v>0</v>
      </c>
      <c r="AI248" s="56" t="n">
        <f aca="false">ROUND(Y247*(1+N(Debts!$D$14)/12),2)</f>
        <v>0</v>
      </c>
      <c r="AJ248" s="56" t="n">
        <f aca="false">MIN(Z248,MAX(0,N(Debts!$E$5)))</f>
        <v>0</v>
      </c>
      <c r="AK248" s="56" t="n">
        <f aca="false">MIN(AA248,MAX(0,N(Debts!$E$6)))</f>
        <v>0</v>
      </c>
      <c r="AL248" s="56" t="n">
        <f aca="false">MIN(AB248,MAX(0,N(Debts!$E$7)))</f>
        <v>0</v>
      </c>
      <c r="AM248" s="56" t="n">
        <f aca="false">MIN(AC248,MAX(0,N(Debts!$E$8)))</f>
        <v>0</v>
      </c>
      <c r="AN248" s="56" t="n">
        <f aca="false">MIN(AD248,MAX(0,N(Debts!$E$9)))</f>
        <v>0</v>
      </c>
      <c r="AO248" s="56" t="n">
        <f aca="false">MIN(AE248,MAX(0,N(Debts!$E$10)))</f>
        <v>0</v>
      </c>
      <c r="AP248" s="56" t="n">
        <f aca="false">MIN(AF248,MAX(0,N(Debts!$E$11)))</f>
        <v>0</v>
      </c>
      <c r="AQ248" s="56" t="n">
        <f aca="false">MIN(AG248,MAX(0,N(Debts!$E$12)))</f>
        <v>0</v>
      </c>
      <c r="AR248" s="56" t="n">
        <f aca="false">MIN(AH248,MAX(0,N(Debts!$E$13)))</f>
        <v>0</v>
      </c>
      <c r="AS248" s="56" t="n">
        <f aca="false">MIN(AI248,MAX(0,N(Debts!$E$14)))</f>
        <v>0</v>
      </c>
    </row>
    <row r="249" customFormat="false" ht="15" hidden="false" customHeight="false" outlineLevel="0" collapsed="false">
      <c r="A249" s="53" t="n">
        <v>245</v>
      </c>
      <c r="B249" s="54" t="n">
        <f aca="false">EDATE('Start Here'!$B$8,244)</f>
        <v>53752</v>
      </c>
      <c r="C249" s="42" t="n">
        <f aca="false">SUM(F249:O249)</f>
        <v>0</v>
      </c>
      <c r="D249" s="42" t="n">
        <f aca="false">ROUND(SUM($Z249:$AI249)-SUM(P248:Y248),2)</f>
        <v>0</v>
      </c>
      <c r="E249" s="55" t="n">
        <f aca="false">SUM(P249:Y249)</f>
        <v>0</v>
      </c>
      <c r="F249" s="42" t="n">
        <f aca="false">AJ249+MIN(Z249-AJ249,MAX(0,'Start Here'!$B$10-SUM($AJ249:$AS249)-SUMPRODUCT(($Z$3:$AI$3&lt;Z$3)*($Z249:$AI249-$AJ249:$AS249))))</f>
        <v>0</v>
      </c>
      <c r="G249" s="42" t="n">
        <f aca="false">AK249+MIN(AA249-AK249,MAX(0,'Start Here'!$B$10-SUM($AJ249:$AS249)-SUMPRODUCT(($Z$3:$AI$3&lt;AA$3)*($Z249:$AI249-$AJ249:$AS249))))</f>
        <v>0</v>
      </c>
      <c r="H249" s="42" t="n">
        <f aca="false">AL249+MIN(AB249-AL249,MAX(0,'Start Here'!$B$10-SUM($AJ249:$AS249)-SUMPRODUCT(($Z$3:$AI$3&lt;AB$3)*($Z249:$AI249-$AJ249:$AS249))))</f>
        <v>0</v>
      </c>
      <c r="I249" s="42" t="n">
        <f aca="false">AM249+MIN(AC249-AM249,MAX(0,'Start Here'!$B$10-SUM($AJ249:$AS249)-SUMPRODUCT(($Z$3:$AI$3&lt;AC$3)*($Z249:$AI249-$AJ249:$AS249))))</f>
        <v>0</v>
      </c>
      <c r="J249" s="42" t="n">
        <f aca="false">AN249+MIN(AD249-AN249,MAX(0,'Start Here'!$B$10-SUM($AJ249:$AS249)-SUMPRODUCT(($Z$3:$AI$3&lt;AD$3)*($Z249:$AI249-$AJ249:$AS249))))</f>
        <v>0</v>
      </c>
      <c r="K249" s="42" t="n">
        <f aca="false">AO249+MIN(AE249-AO249,MAX(0,'Start Here'!$B$10-SUM($AJ249:$AS249)-SUMPRODUCT(($Z$3:$AI$3&lt;AE$3)*($Z249:$AI249-$AJ249:$AS249))))</f>
        <v>0</v>
      </c>
      <c r="L249" s="42" t="n">
        <f aca="false">AP249+MIN(AF249-AP249,MAX(0,'Start Here'!$B$10-SUM($AJ249:$AS249)-SUMPRODUCT(($Z$3:$AI$3&lt;AF$3)*($Z249:$AI249-$AJ249:$AS249))))</f>
        <v>0</v>
      </c>
      <c r="M249" s="42" t="n">
        <f aca="false">AQ249+MIN(AG249-AQ249,MAX(0,'Start Here'!$B$10-SUM($AJ249:$AS249)-SUMPRODUCT(($Z$3:$AI$3&lt;AG$3)*($Z249:$AI249-$AJ249:$AS249))))</f>
        <v>0</v>
      </c>
      <c r="N249" s="42" t="n">
        <f aca="false">AR249+MIN(AH249-AR249,MAX(0,'Start Here'!$B$10-SUM($AJ249:$AS249)-SUMPRODUCT(($Z$3:$AI$3&lt;AH$3)*($Z249:$AI249-$AJ249:$AS249))))</f>
        <v>0</v>
      </c>
      <c r="O249" s="42" t="n">
        <f aca="false">AS249+MIN(AI249-AS249,MAX(0,'Start Here'!$B$10-SUM($AJ249:$AS249)-SUMPRODUCT(($Z$3:$AI$3&lt;AI$3)*($Z249:$AI249-$AJ249:$AS249))))</f>
        <v>0</v>
      </c>
      <c r="P249" s="42" t="n">
        <f aca="false">ROUND(Z249-F249,2)</f>
        <v>0</v>
      </c>
      <c r="Q249" s="42" t="n">
        <f aca="false">ROUND(AA249-G249,2)</f>
        <v>0</v>
      </c>
      <c r="R249" s="42" t="n">
        <f aca="false">ROUND(AB249-H249,2)</f>
        <v>0</v>
      </c>
      <c r="S249" s="42" t="n">
        <f aca="false">ROUND(AC249-I249,2)</f>
        <v>0</v>
      </c>
      <c r="T249" s="42" t="n">
        <f aca="false">ROUND(AD249-J249,2)</f>
        <v>0</v>
      </c>
      <c r="U249" s="42" t="n">
        <f aca="false">ROUND(AE249-K249,2)</f>
        <v>0</v>
      </c>
      <c r="V249" s="42" t="n">
        <f aca="false">ROUND(AF249-L249,2)</f>
        <v>0</v>
      </c>
      <c r="W249" s="42" t="n">
        <f aca="false">ROUND(AG249-M249,2)</f>
        <v>0</v>
      </c>
      <c r="X249" s="42" t="n">
        <f aca="false">ROUND(AH249-N249,2)</f>
        <v>0</v>
      </c>
      <c r="Y249" s="42" t="n">
        <f aca="false">ROUND(AI249-O249,2)</f>
        <v>0</v>
      </c>
      <c r="Z249" s="56" t="n">
        <f aca="false">ROUND(P248*(1+N(Debts!$D$5)/12),2)</f>
        <v>0</v>
      </c>
      <c r="AA249" s="56" t="n">
        <f aca="false">ROUND(Q248*(1+N(Debts!$D$6)/12),2)</f>
        <v>0</v>
      </c>
      <c r="AB249" s="56" t="n">
        <f aca="false">ROUND(R248*(1+N(Debts!$D$7)/12),2)</f>
        <v>0</v>
      </c>
      <c r="AC249" s="56" t="n">
        <f aca="false">ROUND(S248*(1+N(Debts!$D$8)/12),2)</f>
        <v>0</v>
      </c>
      <c r="AD249" s="56" t="n">
        <f aca="false">ROUND(T248*(1+N(Debts!$D$9)/12),2)</f>
        <v>0</v>
      </c>
      <c r="AE249" s="56" t="n">
        <f aca="false">ROUND(U248*(1+N(Debts!$D$10)/12),2)</f>
        <v>0</v>
      </c>
      <c r="AF249" s="56" t="n">
        <f aca="false">ROUND(V248*(1+N(Debts!$D$11)/12),2)</f>
        <v>0</v>
      </c>
      <c r="AG249" s="56" t="n">
        <f aca="false">ROUND(W248*(1+N(Debts!$D$12)/12),2)</f>
        <v>0</v>
      </c>
      <c r="AH249" s="56" t="n">
        <f aca="false">ROUND(X248*(1+N(Debts!$D$13)/12),2)</f>
        <v>0</v>
      </c>
      <c r="AI249" s="56" t="n">
        <f aca="false">ROUND(Y248*(1+N(Debts!$D$14)/12),2)</f>
        <v>0</v>
      </c>
      <c r="AJ249" s="56" t="n">
        <f aca="false">MIN(Z249,MAX(0,N(Debts!$E$5)))</f>
        <v>0</v>
      </c>
      <c r="AK249" s="56" t="n">
        <f aca="false">MIN(AA249,MAX(0,N(Debts!$E$6)))</f>
        <v>0</v>
      </c>
      <c r="AL249" s="56" t="n">
        <f aca="false">MIN(AB249,MAX(0,N(Debts!$E$7)))</f>
        <v>0</v>
      </c>
      <c r="AM249" s="56" t="n">
        <f aca="false">MIN(AC249,MAX(0,N(Debts!$E$8)))</f>
        <v>0</v>
      </c>
      <c r="AN249" s="56" t="n">
        <f aca="false">MIN(AD249,MAX(0,N(Debts!$E$9)))</f>
        <v>0</v>
      </c>
      <c r="AO249" s="56" t="n">
        <f aca="false">MIN(AE249,MAX(0,N(Debts!$E$10)))</f>
        <v>0</v>
      </c>
      <c r="AP249" s="56" t="n">
        <f aca="false">MIN(AF249,MAX(0,N(Debts!$E$11)))</f>
        <v>0</v>
      </c>
      <c r="AQ249" s="56" t="n">
        <f aca="false">MIN(AG249,MAX(0,N(Debts!$E$12)))</f>
        <v>0</v>
      </c>
      <c r="AR249" s="56" t="n">
        <f aca="false">MIN(AH249,MAX(0,N(Debts!$E$13)))</f>
        <v>0</v>
      </c>
      <c r="AS249" s="56" t="n">
        <f aca="false">MIN(AI249,MAX(0,N(Debts!$E$14)))</f>
        <v>0</v>
      </c>
    </row>
    <row r="250" customFormat="false" ht="15" hidden="false" customHeight="false" outlineLevel="0" collapsed="false">
      <c r="A250" s="53" t="n">
        <v>246</v>
      </c>
      <c r="B250" s="54" t="n">
        <f aca="false">EDATE('Start Here'!$B$8,245)</f>
        <v>53783</v>
      </c>
      <c r="C250" s="42" t="n">
        <f aca="false">SUM(F250:O250)</f>
        <v>0</v>
      </c>
      <c r="D250" s="42" t="n">
        <f aca="false">ROUND(SUM($Z250:$AI250)-SUM(P249:Y249),2)</f>
        <v>0</v>
      </c>
      <c r="E250" s="55" t="n">
        <f aca="false">SUM(P250:Y250)</f>
        <v>0</v>
      </c>
      <c r="F250" s="42" t="n">
        <f aca="false">AJ250+MIN(Z250-AJ250,MAX(0,'Start Here'!$B$10-SUM($AJ250:$AS250)-SUMPRODUCT(($Z$3:$AI$3&lt;Z$3)*($Z250:$AI250-$AJ250:$AS250))))</f>
        <v>0</v>
      </c>
      <c r="G250" s="42" t="n">
        <f aca="false">AK250+MIN(AA250-AK250,MAX(0,'Start Here'!$B$10-SUM($AJ250:$AS250)-SUMPRODUCT(($Z$3:$AI$3&lt;AA$3)*($Z250:$AI250-$AJ250:$AS250))))</f>
        <v>0</v>
      </c>
      <c r="H250" s="42" t="n">
        <f aca="false">AL250+MIN(AB250-AL250,MAX(0,'Start Here'!$B$10-SUM($AJ250:$AS250)-SUMPRODUCT(($Z$3:$AI$3&lt;AB$3)*($Z250:$AI250-$AJ250:$AS250))))</f>
        <v>0</v>
      </c>
      <c r="I250" s="42" t="n">
        <f aca="false">AM250+MIN(AC250-AM250,MAX(0,'Start Here'!$B$10-SUM($AJ250:$AS250)-SUMPRODUCT(($Z$3:$AI$3&lt;AC$3)*($Z250:$AI250-$AJ250:$AS250))))</f>
        <v>0</v>
      </c>
      <c r="J250" s="42" t="n">
        <f aca="false">AN250+MIN(AD250-AN250,MAX(0,'Start Here'!$B$10-SUM($AJ250:$AS250)-SUMPRODUCT(($Z$3:$AI$3&lt;AD$3)*($Z250:$AI250-$AJ250:$AS250))))</f>
        <v>0</v>
      </c>
      <c r="K250" s="42" t="n">
        <f aca="false">AO250+MIN(AE250-AO250,MAX(0,'Start Here'!$B$10-SUM($AJ250:$AS250)-SUMPRODUCT(($Z$3:$AI$3&lt;AE$3)*($Z250:$AI250-$AJ250:$AS250))))</f>
        <v>0</v>
      </c>
      <c r="L250" s="42" t="n">
        <f aca="false">AP250+MIN(AF250-AP250,MAX(0,'Start Here'!$B$10-SUM($AJ250:$AS250)-SUMPRODUCT(($Z$3:$AI$3&lt;AF$3)*($Z250:$AI250-$AJ250:$AS250))))</f>
        <v>0</v>
      </c>
      <c r="M250" s="42" t="n">
        <f aca="false">AQ250+MIN(AG250-AQ250,MAX(0,'Start Here'!$B$10-SUM($AJ250:$AS250)-SUMPRODUCT(($Z$3:$AI$3&lt;AG$3)*($Z250:$AI250-$AJ250:$AS250))))</f>
        <v>0</v>
      </c>
      <c r="N250" s="42" t="n">
        <f aca="false">AR250+MIN(AH250-AR250,MAX(0,'Start Here'!$B$10-SUM($AJ250:$AS250)-SUMPRODUCT(($Z$3:$AI$3&lt;AH$3)*($Z250:$AI250-$AJ250:$AS250))))</f>
        <v>0</v>
      </c>
      <c r="O250" s="42" t="n">
        <f aca="false">AS250+MIN(AI250-AS250,MAX(0,'Start Here'!$B$10-SUM($AJ250:$AS250)-SUMPRODUCT(($Z$3:$AI$3&lt;AI$3)*($Z250:$AI250-$AJ250:$AS250))))</f>
        <v>0</v>
      </c>
      <c r="P250" s="42" t="n">
        <f aca="false">ROUND(Z250-F250,2)</f>
        <v>0</v>
      </c>
      <c r="Q250" s="42" t="n">
        <f aca="false">ROUND(AA250-G250,2)</f>
        <v>0</v>
      </c>
      <c r="R250" s="42" t="n">
        <f aca="false">ROUND(AB250-H250,2)</f>
        <v>0</v>
      </c>
      <c r="S250" s="42" t="n">
        <f aca="false">ROUND(AC250-I250,2)</f>
        <v>0</v>
      </c>
      <c r="T250" s="42" t="n">
        <f aca="false">ROUND(AD250-J250,2)</f>
        <v>0</v>
      </c>
      <c r="U250" s="42" t="n">
        <f aca="false">ROUND(AE250-K250,2)</f>
        <v>0</v>
      </c>
      <c r="V250" s="42" t="n">
        <f aca="false">ROUND(AF250-L250,2)</f>
        <v>0</v>
      </c>
      <c r="W250" s="42" t="n">
        <f aca="false">ROUND(AG250-M250,2)</f>
        <v>0</v>
      </c>
      <c r="X250" s="42" t="n">
        <f aca="false">ROUND(AH250-N250,2)</f>
        <v>0</v>
      </c>
      <c r="Y250" s="42" t="n">
        <f aca="false">ROUND(AI250-O250,2)</f>
        <v>0</v>
      </c>
      <c r="Z250" s="56" t="n">
        <f aca="false">ROUND(P249*(1+N(Debts!$D$5)/12),2)</f>
        <v>0</v>
      </c>
      <c r="AA250" s="56" t="n">
        <f aca="false">ROUND(Q249*(1+N(Debts!$D$6)/12),2)</f>
        <v>0</v>
      </c>
      <c r="AB250" s="56" t="n">
        <f aca="false">ROUND(R249*(1+N(Debts!$D$7)/12),2)</f>
        <v>0</v>
      </c>
      <c r="AC250" s="56" t="n">
        <f aca="false">ROUND(S249*(1+N(Debts!$D$8)/12),2)</f>
        <v>0</v>
      </c>
      <c r="AD250" s="56" t="n">
        <f aca="false">ROUND(T249*(1+N(Debts!$D$9)/12),2)</f>
        <v>0</v>
      </c>
      <c r="AE250" s="56" t="n">
        <f aca="false">ROUND(U249*(1+N(Debts!$D$10)/12),2)</f>
        <v>0</v>
      </c>
      <c r="AF250" s="56" t="n">
        <f aca="false">ROUND(V249*(1+N(Debts!$D$11)/12),2)</f>
        <v>0</v>
      </c>
      <c r="AG250" s="56" t="n">
        <f aca="false">ROUND(W249*(1+N(Debts!$D$12)/12),2)</f>
        <v>0</v>
      </c>
      <c r="AH250" s="56" t="n">
        <f aca="false">ROUND(X249*(1+N(Debts!$D$13)/12),2)</f>
        <v>0</v>
      </c>
      <c r="AI250" s="56" t="n">
        <f aca="false">ROUND(Y249*(1+N(Debts!$D$14)/12),2)</f>
        <v>0</v>
      </c>
      <c r="AJ250" s="56" t="n">
        <f aca="false">MIN(Z250,MAX(0,N(Debts!$E$5)))</f>
        <v>0</v>
      </c>
      <c r="AK250" s="56" t="n">
        <f aca="false">MIN(AA250,MAX(0,N(Debts!$E$6)))</f>
        <v>0</v>
      </c>
      <c r="AL250" s="56" t="n">
        <f aca="false">MIN(AB250,MAX(0,N(Debts!$E$7)))</f>
        <v>0</v>
      </c>
      <c r="AM250" s="56" t="n">
        <f aca="false">MIN(AC250,MAX(0,N(Debts!$E$8)))</f>
        <v>0</v>
      </c>
      <c r="AN250" s="56" t="n">
        <f aca="false">MIN(AD250,MAX(0,N(Debts!$E$9)))</f>
        <v>0</v>
      </c>
      <c r="AO250" s="56" t="n">
        <f aca="false">MIN(AE250,MAX(0,N(Debts!$E$10)))</f>
        <v>0</v>
      </c>
      <c r="AP250" s="56" t="n">
        <f aca="false">MIN(AF250,MAX(0,N(Debts!$E$11)))</f>
        <v>0</v>
      </c>
      <c r="AQ250" s="56" t="n">
        <f aca="false">MIN(AG250,MAX(0,N(Debts!$E$12)))</f>
        <v>0</v>
      </c>
      <c r="AR250" s="56" t="n">
        <f aca="false">MIN(AH250,MAX(0,N(Debts!$E$13)))</f>
        <v>0</v>
      </c>
      <c r="AS250" s="56" t="n">
        <f aca="false">MIN(AI250,MAX(0,N(Debts!$E$14)))</f>
        <v>0</v>
      </c>
    </row>
    <row r="251" customFormat="false" ht="15" hidden="false" customHeight="false" outlineLevel="0" collapsed="false">
      <c r="A251" s="53" t="n">
        <v>247</v>
      </c>
      <c r="B251" s="54" t="n">
        <f aca="false">EDATE('Start Here'!$B$8,246)</f>
        <v>53813</v>
      </c>
      <c r="C251" s="42" t="n">
        <f aca="false">SUM(F251:O251)</f>
        <v>0</v>
      </c>
      <c r="D251" s="42" t="n">
        <f aca="false">ROUND(SUM($Z251:$AI251)-SUM(P250:Y250),2)</f>
        <v>0</v>
      </c>
      <c r="E251" s="55" t="n">
        <f aca="false">SUM(P251:Y251)</f>
        <v>0</v>
      </c>
      <c r="F251" s="42" t="n">
        <f aca="false">AJ251+MIN(Z251-AJ251,MAX(0,'Start Here'!$B$10-SUM($AJ251:$AS251)-SUMPRODUCT(($Z$3:$AI$3&lt;Z$3)*($Z251:$AI251-$AJ251:$AS251))))</f>
        <v>0</v>
      </c>
      <c r="G251" s="42" t="n">
        <f aca="false">AK251+MIN(AA251-AK251,MAX(0,'Start Here'!$B$10-SUM($AJ251:$AS251)-SUMPRODUCT(($Z$3:$AI$3&lt;AA$3)*($Z251:$AI251-$AJ251:$AS251))))</f>
        <v>0</v>
      </c>
      <c r="H251" s="42" t="n">
        <f aca="false">AL251+MIN(AB251-AL251,MAX(0,'Start Here'!$B$10-SUM($AJ251:$AS251)-SUMPRODUCT(($Z$3:$AI$3&lt;AB$3)*($Z251:$AI251-$AJ251:$AS251))))</f>
        <v>0</v>
      </c>
      <c r="I251" s="42" t="n">
        <f aca="false">AM251+MIN(AC251-AM251,MAX(0,'Start Here'!$B$10-SUM($AJ251:$AS251)-SUMPRODUCT(($Z$3:$AI$3&lt;AC$3)*($Z251:$AI251-$AJ251:$AS251))))</f>
        <v>0</v>
      </c>
      <c r="J251" s="42" t="n">
        <f aca="false">AN251+MIN(AD251-AN251,MAX(0,'Start Here'!$B$10-SUM($AJ251:$AS251)-SUMPRODUCT(($Z$3:$AI$3&lt;AD$3)*($Z251:$AI251-$AJ251:$AS251))))</f>
        <v>0</v>
      </c>
      <c r="K251" s="42" t="n">
        <f aca="false">AO251+MIN(AE251-AO251,MAX(0,'Start Here'!$B$10-SUM($AJ251:$AS251)-SUMPRODUCT(($Z$3:$AI$3&lt;AE$3)*($Z251:$AI251-$AJ251:$AS251))))</f>
        <v>0</v>
      </c>
      <c r="L251" s="42" t="n">
        <f aca="false">AP251+MIN(AF251-AP251,MAX(0,'Start Here'!$B$10-SUM($AJ251:$AS251)-SUMPRODUCT(($Z$3:$AI$3&lt;AF$3)*($Z251:$AI251-$AJ251:$AS251))))</f>
        <v>0</v>
      </c>
      <c r="M251" s="42" t="n">
        <f aca="false">AQ251+MIN(AG251-AQ251,MAX(0,'Start Here'!$B$10-SUM($AJ251:$AS251)-SUMPRODUCT(($Z$3:$AI$3&lt;AG$3)*($Z251:$AI251-$AJ251:$AS251))))</f>
        <v>0</v>
      </c>
      <c r="N251" s="42" t="n">
        <f aca="false">AR251+MIN(AH251-AR251,MAX(0,'Start Here'!$B$10-SUM($AJ251:$AS251)-SUMPRODUCT(($Z$3:$AI$3&lt;AH$3)*($Z251:$AI251-$AJ251:$AS251))))</f>
        <v>0</v>
      </c>
      <c r="O251" s="42" t="n">
        <f aca="false">AS251+MIN(AI251-AS251,MAX(0,'Start Here'!$B$10-SUM($AJ251:$AS251)-SUMPRODUCT(($Z$3:$AI$3&lt;AI$3)*($Z251:$AI251-$AJ251:$AS251))))</f>
        <v>0</v>
      </c>
      <c r="P251" s="42" t="n">
        <f aca="false">ROUND(Z251-F251,2)</f>
        <v>0</v>
      </c>
      <c r="Q251" s="42" t="n">
        <f aca="false">ROUND(AA251-G251,2)</f>
        <v>0</v>
      </c>
      <c r="R251" s="42" t="n">
        <f aca="false">ROUND(AB251-H251,2)</f>
        <v>0</v>
      </c>
      <c r="S251" s="42" t="n">
        <f aca="false">ROUND(AC251-I251,2)</f>
        <v>0</v>
      </c>
      <c r="T251" s="42" t="n">
        <f aca="false">ROUND(AD251-J251,2)</f>
        <v>0</v>
      </c>
      <c r="U251" s="42" t="n">
        <f aca="false">ROUND(AE251-K251,2)</f>
        <v>0</v>
      </c>
      <c r="V251" s="42" t="n">
        <f aca="false">ROUND(AF251-L251,2)</f>
        <v>0</v>
      </c>
      <c r="W251" s="42" t="n">
        <f aca="false">ROUND(AG251-M251,2)</f>
        <v>0</v>
      </c>
      <c r="X251" s="42" t="n">
        <f aca="false">ROUND(AH251-N251,2)</f>
        <v>0</v>
      </c>
      <c r="Y251" s="42" t="n">
        <f aca="false">ROUND(AI251-O251,2)</f>
        <v>0</v>
      </c>
      <c r="Z251" s="56" t="n">
        <f aca="false">ROUND(P250*(1+N(Debts!$D$5)/12),2)</f>
        <v>0</v>
      </c>
      <c r="AA251" s="56" t="n">
        <f aca="false">ROUND(Q250*(1+N(Debts!$D$6)/12),2)</f>
        <v>0</v>
      </c>
      <c r="AB251" s="56" t="n">
        <f aca="false">ROUND(R250*(1+N(Debts!$D$7)/12),2)</f>
        <v>0</v>
      </c>
      <c r="AC251" s="56" t="n">
        <f aca="false">ROUND(S250*(1+N(Debts!$D$8)/12),2)</f>
        <v>0</v>
      </c>
      <c r="AD251" s="56" t="n">
        <f aca="false">ROUND(T250*(1+N(Debts!$D$9)/12),2)</f>
        <v>0</v>
      </c>
      <c r="AE251" s="56" t="n">
        <f aca="false">ROUND(U250*(1+N(Debts!$D$10)/12),2)</f>
        <v>0</v>
      </c>
      <c r="AF251" s="56" t="n">
        <f aca="false">ROUND(V250*(1+N(Debts!$D$11)/12),2)</f>
        <v>0</v>
      </c>
      <c r="AG251" s="56" t="n">
        <f aca="false">ROUND(W250*(1+N(Debts!$D$12)/12),2)</f>
        <v>0</v>
      </c>
      <c r="AH251" s="56" t="n">
        <f aca="false">ROUND(X250*(1+N(Debts!$D$13)/12),2)</f>
        <v>0</v>
      </c>
      <c r="AI251" s="56" t="n">
        <f aca="false">ROUND(Y250*(1+N(Debts!$D$14)/12),2)</f>
        <v>0</v>
      </c>
      <c r="AJ251" s="56" t="n">
        <f aca="false">MIN(Z251,MAX(0,N(Debts!$E$5)))</f>
        <v>0</v>
      </c>
      <c r="AK251" s="56" t="n">
        <f aca="false">MIN(AA251,MAX(0,N(Debts!$E$6)))</f>
        <v>0</v>
      </c>
      <c r="AL251" s="56" t="n">
        <f aca="false">MIN(AB251,MAX(0,N(Debts!$E$7)))</f>
        <v>0</v>
      </c>
      <c r="AM251" s="56" t="n">
        <f aca="false">MIN(AC251,MAX(0,N(Debts!$E$8)))</f>
        <v>0</v>
      </c>
      <c r="AN251" s="56" t="n">
        <f aca="false">MIN(AD251,MAX(0,N(Debts!$E$9)))</f>
        <v>0</v>
      </c>
      <c r="AO251" s="56" t="n">
        <f aca="false">MIN(AE251,MAX(0,N(Debts!$E$10)))</f>
        <v>0</v>
      </c>
      <c r="AP251" s="56" t="n">
        <f aca="false">MIN(AF251,MAX(0,N(Debts!$E$11)))</f>
        <v>0</v>
      </c>
      <c r="AQ251" s="56" t="n">
        <f aca="false">MIN(AG251,MAX(0,N(Debts!$E$12)))</f>
        <v>0</v>
      </c>
      <c r="AR251" s="56" t="n">
        <f aca="false">MIN(AH251,MAX(0,N(Debts!$E$13)))</f>
        <v>0</v>
      </c>
      <c r="AS251" s="56" t="n">
        <f aca="false">MIN(AI251,MAX(0,N(Debts!$E$14)))</f>
        <v>0</v>
      </c>
    </row>
    <row r="252" customFormat="false" ht="15" hidden="false" customHeight="false" outlineLevel="0" collapsed="false">
      <c r="A252" s="53" t="n">
        <v>248</v>
      </c>
      <c r="B252" s="54" t="n">
        <f aca="false">EDATE('Start Here'!$B$8,247)</f>
        <v>53844</v>
      </c>
      <c r="C252" s="42" t="n">
        <f aca="false">SUM(F252:O252)</f>
        <v>0</v>
      </c>
      <c r="D252" s="42" t="n">
        <f aca="false">ROUND(SUM($Z252:$AI252)-SUM(P251:Y251),2)</f>
        <v>0</v>
      </c>
      <c r="E252" s="55" t="n">
        <f aca="false">SUM(P252:Y252)</f>
        <v>0</v>
      </c>
      <c r="F252" s="42" t="n">
        <f aca="false">AJ252+MIN(Z252-AJ252,MAX(0,'Start Here'!$B$10-SUM($AJ252:$AS252)-SUMPRODUCT(($Z$3:$AI$3&lt;Z$3)*($Z252:$AI252-$AJ252:$AS252))))</f>
        <v>0</v>
      </c>
      <c r="G252" s="42" t="n">
        <f aca="false">AK252+MIN(AA252-AK252,MAX(0,'Start Here'!$B$10-SUM($AJ252:$AS252)-SUMPRODUCT(($Z$3:$AI$3&lt;AA$3)*($Z252:$AI252-$AJ252:$AS252))))</f>
        <v>0</v>
      </c>
      <c r="H252" s="42" t="n">
        <f aca="false">AL252+MIN(AB252-AL252,MAX(0,'Start Here'!$B$10-SUM($AJ252:$AS252)-SUMPRODUCT(($Z$3:$AI$3&lt;AB$3)*($Z252:$AI252-$AJ252:$AS252))))</f>
        <v>0</v>
      </c>
      <c r="I252" s="42" t="n">
        <f aca="false">AM252+MIN(AC252-AM252,MAX(0,'Start Here'!$B$10-SUM($AJ252:$AS252)-SUMPRODUCT(($Z$3:$AI$3&lt;AC$3)*($Z252:$AI252-$AJ252:$AS252))))</f>
        <v>0</v>
      </c>
      <c r="J252" s="42" t="n">
        <f aca="false">AN252+MIN(AD252-AN252,MAX(0,'Start Here'!$B$10-SUM($AJ252:$AS252)-SUMPRODUCT(($Z$3:$AI$3&lt;AD$3)*($Z252:$AI252-$AJ252:$AS252))))</f>
        <v>0</v>
      </c>
      <c r="K252" s="42" t="n">
        <f aca="false">AO252+MIN(AE252-AO252,MAX(0,'Start Here'!$B$10-SUM($AJ252:$AS252)-SUMPRODUCT(($Z$3:$AI$3&lt;AE$3)*($Z252:$AI252-$AJ252:$AS252))))</f>
        <v>0</v>
      </c>
      <c r="L252" s="42" t="n">
        <f aca="false">AP252+MIN(AF252-AP252,MAX(0,'Start Here'!$B$10-SUM($AJ252:$AS252)-SUMPRODUCT(($Z$3:$AI$3&lt;AF$3)*($Z252:$AI252-$AJ252:$AS252))))</f>
        <v>0</v>
      </c>
      <c r="M252" s="42" t="n">
        <f aca="false">AQ252+MIN(AG252-AQ252,MAX(0,'Start Here'!$B$10-SUM($AJ252:$AS252)-SUMPRODUCT(($Z$3:$AI$3&lt;AG$3)*($Z252:$AI252-$AJ252:$AS252))))</f>
        <v>0</v>
      </c>
      <c r="N252" s="42" t="n">
        <f aca="false">AR252+MIN(AH252-AR252,MAX(0,'Start Here'!$B$10-SUM($AJ252:$AS252)-SUMPRODUCT(($Z$3:$AI$3&lt;AH$3)*($Z252:$AI252-$AJ252:$AS252))))</f>
        <v>0</v>
      </c>
      <c r="O252" s="42" t="n">
        <f aca="false">AS252+MIN(AI252-AS252,MAX(0,'Start Here'!$B$10-SUM($AJ252:$AS252)-SUMPRODUCT(($Z$3:$AI$3&lt;AI$3)*($Z252:$AI252-$AJ252:$AS252))))</f>
        <v>0</v>
      </c>
      <c r="P252" s="42" t="n">
        <f aca="false">ROUND(Z252-F252,2)</f>
        <v>0</v>
      </c>
      <c r="Q252" s="42" t="n">
        <f aca="false">ROUND(AA252-G252,2)</f>
        <v>0</v>
      </c>
      <c r="R252" s="42" t="n">
        <f aca="false">ROUND(AB252-H252,2)</f>
        <v>0</v>
      </c>
      <c r="S252" s="42" t="n">
        <f aca="false">ROUND(AC252-I252,2)</f>
        <v>0</v>
      </c>
      <c r="T252" s="42" t="n">
        <f aca="false">ROUND(AD252-J252,2)</f>
        <v>0</v>
      </c>
      <c r="U252" s="42" t="n">
        <f aca="false">ROUND(AE252-K252,2)</f>
        <v>0</v>
      </c>
      <c r="V252" s="42" t="n">
        <f aca="false">ROUND(AF252-L252,2)</f>
        <v>0</v>
      </c>
      <c r="W252" s="42" t="n">
        <f aca="false">ROUND(AG252-M252,2)</f>
        <v>0</v>
      </c>
      <c r="X252" s="42" t="n">
        <f aca="false">ROUND(AH252-N252,2)</f>
        <v>0</v>
      </c>
      <c r="Y252" s="42" t="n">
        <f aca="false">ROUND(AI252-O252,2)</f>
        <v>0</v>
      </c>
      <c r="Z252" s="56" t="n">
        <f aca="false">ROUND(P251*(1+N(Debts!$D$5)/12),2)</f>
        <v>0</v>
      </c>
      <c r="AA252" s="56" t="n">
        <f aca="false">ROUND(Q251*(1+N(Debts!$D$6)/12),2)</f>
        <v>0</v>
      </c>
      <c r="AB252" s="56" t="n">
        <f aca="false">ROUND(R251*(1+N(Debts!$D$7)/12),2)</f>
        <v>0</v>
      </c>
      <c r="AC252" s="56" t="n">
        <f aca="false">ROUND(S251*(1+N(Debts!$D$8)/12),2)</f>
        <v>0</v>
      </c>
      <c r="AD252" s="56" t="n">
        <f aca="false">ROUND(T251*(1+N(Debts!$D$9)/12),2)</f>
        <v>0</v>
      </c>
      <c r="AE252" s="56" t="n">
        <f aca="false">ROUND(U251*(1+N(Debts!$D$10)/12),2)</f>
        <v>0</v>
      </c>
      <c r="AF252" s="56" t="n">
        <f aca="false">ROUND(V251*(1+N(Debts!$D$11)/12),2)</f>
        <v>0</v>
      </c>
      <c r="AG252" s="56" t="n">
        <f aca="false">ROUND(W251*(1+N(Debts!$D$12)/12),2)</f>
        <v>0</v>
      </c>
      <c r="AH252" s="56" t="n">
        <f aca="false">ROUND(X251*(1+N(Debts!$D$13)/12),2)</f>
        <v>0</v>
      </c>
      <c r="AI252" s="56" t="n">
        <f aca="false">ROUND(Y251*(1+N(Debts!$D$14)/12),2)</f>
        <v>0</v>
      </c>
      <c r="AJ252" s="56" t="n">
        <f aca="false">MIN(Z252,MAX(0,N(Debts!$E$5)))</f>
        <v>0</v>
      </c>
      <c r="AK252" s="56" t="n">
        <f aca="false">MIN(AA252,MAX(0,N(Debts!$E$6)))</f>
        <v>0</v>
      </c>
      <c r="AL252" s="56" t="n">
        <f aca="false">MIN(AB252,MAX(0,N(Debts!$E$7)))</f>
        <v>0</v>
      </c>
      <c r="AM252" s="56" t="n">
        <f aca="false">MIN(AC252,MAX(0,N(Debts!$E$8)))</f>
        <v>0</v>
      </c>
      <c r="AN252" s="56" t="n">
        <f aca="false">MIN(AD252,MAX(0,N(Debts!$E$9)))</f>
        <v>0</v>
      </c>
      <c r="AO252" s="56" t="n">
        <f aca="false">MIN(AE252,MAX(0,N(Debts!$E$10)))</f>
        <v>0</v>
      </c>
      <c r="AP252" s="56" t="n">
        <f aca="false">MIN(AF252,MAX(0,N(Debts!$E$11)))</f>
        <v>0</v>
      </c>
      <c r="AQ252" s="56" t="n">
        <f aca="false">MIN(AG252,MAX(0,N(Debts!$E$12)))</f>
        <v>0</v>
      </c>
      <c r="AR252" s="56" t="n">
        <f aca="false">MIN(AH252,MAX(0,N(Debts!$E$13)))</f>
        <v>0</v>
      </c>
      <c r="AS252" s="56" t="n">
        <f aca="false">MIN(AI252,MAX(0,N(Debts!$E$14)))</f>
        <v>0</v>
      </c>
    </row>
    <row r="253" customFormat="false" ht="15" hidden="false" customHeight="false" outlineLevel="0" collapsed="false">
      <c r="A253" s="53" t="n">
        <v>249</v>
      </c>
      <c r="B253" s="54" t="n">
        <f aca="false">EDATE('Start Here'!$B$8,248)</f>
        <v>53874</v>
      </c>
      <c r="C253" s="42" t="n">
        <f aca="false">SUM(F253:O253)</f>
        <v>0</v>
      </c>
      <c r="D253" s="42" t="n">
        <f aca="false">ROUND(SUM($Z253:$AI253)-SUM(P252:Y252),2)</f>
        <v>0</v>
      </c>
      <c r="E253" s="55" t="n">
        <f aca="false">SUM(P253:Y253)</f>
        <v>0</v>
      </c>
      <c r="F253" s="42" t="n">
        <f aca="false">AJ253+MIN(Z253-AJ253,MAX(0,'Start Here'!$B$10-SUM($AJ253:$AS253)-SUMPRODUCT(($Z$3:$AI$3&lt;Z$3)*($Z253:$AI253-$AJ253:$AS253))))</f>
        <v>0</v>
      </c>
      <c r="G253" s="42" t="n">
        <f aca="false">AK253+MIN(AA253-AK253,MAX(0,'Start Here'!$B$10-SUM($AJ253:$AS253)-SUMPRODUCT(($Z$3:$AI$3&lt;AA$3)*($Z253:$AI253-$AJ253:$AS253))))</f>
        <v>0</v>
      </c>
      <c r="H253" s="42" t="n">
        <f aca="false">AL253+MIN(AB253-AL253,MAX(0,'Start Here'!$B$10-SUM($AJ253:$AS253)-SUMPRODUCT(($Z$3:$AI$3&lt;AB$3)*($Z253:$AI253-$AJ253:$AS253))))</f>
        <v>0</v>
      </c>
      <c r="I253" s="42" t="n">
        <f aca="false">AM253+MIN(AC253-AM253,MAX(0,'Start Here'!$B$10-SUM($AJ253:$AS253)-SUMPRODUCT(($Z$3:$AI$3&lt;AC$3)*($Z253:$AI253-$AJ253:$AS253))))</f>
        <v>0</v>
      </c>
      <c r="J253" s="42" t="n">
        <f aca="false">AN253+MIN(AD253-AN253,MAX(0,'Start Here'!$B$10-SUM($AJ253:$AS253)-SUMPRODUCT(($Z$3:$AI$3&lt;AD$3)*($Z253:$AI253-$AJ253:$AS253))))</f>
        <v>0</v>
      </c>
      <c r="K253" s="42" t="n">
        <f aca="false">AO253+MIN(AE253-AO253,MAX(0,'Start Here'!$B$10-SUM($AJ253:$AS253)-SUMPRODUCT(($Z$3:$AI$3&lt;AE$3)*($Z253:$AI253-$AJ253:$AS253))))</f>
        <v>0</v>
      </c>
      <c r="L253" s="42" t="n">
        <f aca="false">AP253+MIN(AF253-AP253,MAX(0,'Start Here'!$B$10-SUM($AJ253:$AS253)-SUMPRODUCT(($Z$3:$AI$3&lt;AF$3)*($Z253:$AI253-$AJ253:$AS253))))</f>
        <v>0</v>
      </c>
      <c r="M253" s="42" t="n">
        <f aca="false">AQ253+MIN(AG253-AQ253,MAX(0,'Start Here'!$B$10-SUM($AJ253:$AS253)-SUMPRODUCT(($Z$3:$AI$3&lt;AG$3)*($Z253:$AI253-$AJ253:$AS253))))</f>
        <v>0</v>
      </c>
      <c r="N253" s="42" t="n">
        <f aca="false">AR253+MIN(AH253-AR253,MAX(0,'Start Here'!$B$10-SUM($AJ253:$AS253)-SUMPRODUCT(($Z$3:$AI$3&lt;AH$3)*($Z253:$AI253-$AJ253:$AS253))))</f>
        <v>0</v>
      </c>
      <c r="O253" s="42" t="n">
        <f aca="false">AS253+MIN(AI253-AS253,MAX(0,'Start Here'!$B$10-SUM($AJ253:$AS253)-SUMPRODUCT(($Z$3:$AI$3&lt;AI$3)*($Z253:$AI253-$AJ253:$AS253))))</f>
        <v>0</v>
      </c>
      <c r="P253" s="42" t="n">
        <f aca="false">ROUND(Z253-F253,2)</f>
        <v>0</v>
      </c>
      <c r="Q253" s="42" t="n">
        <f aca="false">ROUND(AA253-G253,2)</f>
        <v>0</v>
      </c>
      <c r="R253" s="42" t="n">
        <f aca="false">ROUND(AB253-H253,2)</f>
        <v>0</v>
      </c>
      <c r="S253" s="42" t="n">
        <f aca="false">ROUND(AC253-I253,2)</f>
        <v>0</v>
      </c>
      <c r="T253" s="42" t="n">
        <f aca="false">ROUND(AD253-J253,2)</f>
        <v>0</v>
      </c>
      <c r="U253" s="42" t="n">
        <f aca="false">ROUND(AE253-K253,2)</f>
        <v>0</v>
      </c>
      <c r="V253" s="42" t="n">
        <f aca="false">ROUND(AF253-L253,2)</f>
        <v>0</v>
      </c>
      <c r="W253" s="42" t="n">
        <f aca="false">ROUND(AG253-M253,2)</f>
        <v>0</v>
      </c>
      <c r="X253" s="42" t="n">
        <f aca="false">ROUND(AH253-N253,2)</f>
        <v>0</v>
      </c>
      <c r="Y253" s="42" t="n">
        <f aca="false">ROUND(AI253-O253,2)</f>
        <v>0</v>
      </c>
      <c r="Z253" s="56" t="n">
        <f aca="false">ROUND(P252*(1+N(Debts!$D$5)/12),2)</f>
        <v>0</v>
      </c>
      <c r="AA253" s="56" t="n">
        <f aca="false">ROUND(Q252*(1+N(Debts!$D$6)/12),2)</f>
        <v>0</v>
      </c>
      <c r="AB253" s="56" t="n">
        <f aca="false">ROUND(R252*(1+N(Debts!$D$7)/12),2)</f>
        <v>0</v>
      </c>
      <c r="AC253" s="56" t="n">
        <f aca="false">ROUND(S252*(1+N(Debts!$D$8)/12),2)</f>
        <v>0</v>
      </c>
      <c r="AD253" s="56" t="n">
        <f aca="false">ROUND(T252*(1+N(Debts!$D$9)/12),2)</f>
        <v>0</v>
      </c>
      <c r="AE253" s="56" t="n">
        <f aca="false">ROUND(U252*(1+N(Debts!$D$10)/12),2)</f>
        <v>0</v>
      </c>
      <c r="AF253" s="56" t="n">
        <f aca="false">ROUND(V252*(1+N(Debts!$D$11)/12),2)</f>
        <v>0</v>
      </c>
      <c r="AG253" s="56" t="n">
        <f aca="false">ROUND(W252*(1+N(Debts!$D$12)/12),2)</f>
        <v>0</v>
      </c>
      <c r="AH253" s="56" t="n">
        <f aca="false">ROUND(X252*(1+N(Debts!$D$13)/12),2)</f>
        <v>0</v>
      </c>
      <c r="AI253" s="56" t="n">
        <f aca="false">ROUND(Y252*(1+N(Debts!$D$14)/12),2)</f>
        <v>0</v>
      </c>
      <c r="AJ253" s="56" t="n">
        <f aca="false">MIN(Z253,MAX(0,N(Debts!$E$5)))</f>
        <v>0</v>
      </c>
      <c r="AK253" s="56" t="n">
        <f aca="false">MIN(AA253,MAX(0,N(Debts!$E$6)))</f>
        <v>0</v>
      </c>
      <c r="AL253" s="56" t="n">
        <f aca="false">MIN(AB253,MAX(0,N(Debts!$E$7)))</f>
        <v>0</v>
      </c>
      <c r="AM253" s="56" t="n">
        <f aca="false">MIN(AC253,MAX(0,N(Debts!$E$8)))</f>
        <v>0</v>
      </c>
      <c r="AN253" s="56" t="n">
        <f aca="false">MIN(AD253,MAX(0,N(Debts!$E$9)))</f>
        <v>0</v>
      </c>
      <c r="AO253" s="56" t="n">
        <f aca="false">MIN(AE253,MAX(0,N(Debts!$E$10)))</f>
        <v>0</v>
      </c>
      <c r="AP253" s="56" t="n">
        <f aca="false">MIN(AF253,MAX(0,N(Debts!$E$11)))</f>
        <v>0</v>
      </c>
      <c r="AQ253" s="56" t="n">
        <f aca="false">MIN(AG253,MAX(0,N(Debts!$E$12)))</f>
        <v>0</v>
      </c>
      <c r="AR253" s="56" t="n">
        <f aca="false">MIN(AH253,MAX(0,N(Debts!$E$13)))</f>
        <v>0</v>
      </c>
      <c r="AS253" s="56" t="n">
        <f aca="false">MIN(AI253,MAX(0,N(Debts!$E$14)))</f>
        <v>0</v>
      </c>
    </row>
    <row r="254" customFormat="false" ht="15" hidden="false" customHeight="false" outlineLevel="0" collapsed="false">
      <c r="A254" s="53" t="n">
        <v>250</v>
      </c>
      <c r="B254" s="54" t="n">
        <f aca="false">EDATE('Start Here'!$B$8,249)</f>
        <v>53905</v>
      </c>
      <c r="C254" s="42" t="n">
        <f aca="false">SUM(F254:O254)</f>
        <v>0</v>
      </c>
      <c r="D254" s="42" t="n">
        <f aca="false">ROUND(SUM($Z254:$AI254)-SUM(P253:Y253),2)</f>
        <v>0</v>
      </c>
      <c r="E254" s="55" t="n">
        <f aca="false">SUM(P254:Y254)</f>
        <v>0</v>
      </c>
      <c r="F254" s="42" t="n">
        <f aca="false">AJ254+MIN(Z254-AJ254,MAX(0,'Start Here'!$B$10-SUM($AJ254:$AS254)-SUMPRODUCT(($Z$3:$AI$3&lt;Z$3)*($Z254:$AI254-$AJ254:$AS254))))</f>
        <v>0</v>
      </c>
      <c r="G254" s="42" t="n">
        <f aca="false">AK254+MIN(AA254-AK254,MAX(0,'Start Here'!$B$10-SUM($AJ254:$AS254)-SUMPRODUCT(($Z$3:$AI$3&lt;AA$3)*($Z254:$AI254-$AJ254:$AS254))))</f>
        <v>0</v>
      </c>
      <c r="H254" s="42" t="n">
        <f aca="false">AL254+MIN(AB254-AL254,MAX(0,'Start Here'!$B$10-SUM($AJ254:$AS254)-SUMPRODUCT(($Z$3:$AI$3&lt;AB$3)*($Z254:$AI254-$AJ254:$AS254))))</f>
        <v>0</v>
      </c>
      <c r="I254" s="42" t="n">
        <f aca="false">AM254+MIN(AC254-AM254,MAX(0,'Start Here'!$B$10-SUM($AJ254:$AS254)-SUMPRODUCT(($Z$3:$AI$3&lt;AC$3)*($Z254:$AI254-$AJ254:$AS254))))</f>
        <v>0</v>
      </c>
      <c r="J254" s="42" t="n">
        <f aca="false">AN254+MIN(AD254-AN254,MAX(0,'Start Here'!$B$10-SUM($AJ254:$AS254)-SUMPRODUCT(($Z$3:$AI$3&lt;AD$3)*($Z254:$AI254-$AJ254:$AS254))))</f>
        <v>0</v>
      </c>
      <c r="K254" s="42" t="n">
        <f aca="false">AO254+MIN(AE254-AO254,MAX(0,'Start Here'!$B$10-SUM($AJ254:$AS254)-SUMPRODUCT(($Z$3:$AI$3&lt;AE$3)*($Z254:$AI254-$AJ254:$AS254))))</f>
        <v>0</v>
      </c>
      <c r="L254" s="42" t="n">
        <f aca="false">AP254+MIN(AF254-AP254,MAX(0,'Start Here'!$B$10-SUM($AJ254:$AS254)-SUMPRODUCT(($Z$3:$AI$3&lt;AF$3)*($Z254:$AI254-$AJ254:$AS254))))</f>
        <v>0</v>
      </c>
      <c r="M254" s="42" t="n">
        <f aca="false">AQ254+MIN(AG254-AQ254,MAX(0,'Start Here'!$B$10-SUM($AJ254:$AS254)-SUMPRODUCT(($Z$3:$AI$3&lt;AG$3)*($Z254:$AI254-$AJ254:$AS254))))</f>
        <v>0</v>
      </c>
      <c r="N254" s="42" t="n">
        <f aca="false">AR254+MIN(AH254-AR254,MAX(0,'Start Here'!$B$10-SUM($AJ254:$AS254)-SUMPRODUCT(($Z$3:$AI$3&lt;AH$3)*($Z254:$AI254-$AJ254:$AS254))))</f>
        <v>0</v>
      </c>
      <c r="O254" s="42" t="n">
        <f aca="false">AS254+MIN(AI254-AS254,MAX(0,'Start Here'!$B$10-SUM($AJ254:$AS254)-SUMPRODUCT(($Z$3:$AI$3&lt;AI$3)*($Z254:$AI254-$AJ254:$AS254))))</f>
        <v>0</v>
      </c>
      <c r="P254" s="42" t="n">
        <f aca="false">ROUND(Z254-F254,2)</f>
        <v>0</v>
      </c>
      <c r="Q254" s="42" t="n">
        <f aca="false">ROUND(AA254-G254,2)</f>
        <v>0</v>
      </c>
      <c r="R254" s="42" t="n">
        <f aca="false">ROUND(AB254-H254,2)</f>
        <v>0</v>
      </c>
      <c r="S254" s="42" t="n">
        <f aca="false">ROUND(AC254-I254,2)</f>
        <v>0</v>
      </c>
      <c r="T254" s="42" t="n">
        <f aca="false">ROUND(AD254-J254,2)</f>
        <v>0</v>
      </c>
      <c r="U254" s="42" t="n">
        <f aca="false">ROUND(AE254-K254,2)</f>
        <v>0</v>
      </c>
      <c r="V254" s="42" t="n">
        <f aca="false">ROUND(AF254-L254,2)</f>
        <v>0</v>
      </c>
      <c r="W254" s="42" t="n">
        <f aca="false">ROUND(AG254-M254,2)</f>
        <v>0</v>
      </c>
      <c r="X254" s="42" t="n">
        <f aca="false">ROUND(AH254-N254,2)</f>
        <v>0</v>
      </c>
      <c r="Y254" s="42" t="n">
        <f aca="false">ROUND(AI254-O254,2)</f>
        <v>0</v>
      </c>
      <c r="Z254" s="56" t="n">
        <f aca="false">ROUND(P253*(1+N(Debts!$D$5)/12),2)</f>
        <v>0</v>
      </c>
      <c r="AA254" s="56" t="n">
        <f aca="false">ROUND(Q253*(1+N(Debts!$D$6)/12),2)</f>
        <v>0</v>
      </c>
      <c r="AB254" s="56" t="n">
        <f aca="false">ROUND(R253*(1+N(Debts!$D$7)/12),2)</f>
        <v>0</v>
      </c>
      <c r="AC254" s="56" t="n">
        <f aca="false">ROUND(S253*(1+N(Debts!$D$8)/12),2)</f>
        <v>0</v>
      </c>
      <c r="AD254" s="56" t="n">
        <f aca="false">ROUND(T253*(1+N(Debts!$D$9)/12),2)</f>
        <v>0</v>
      </c>
      <c r="AE254" s="56" t="n">
        <f aca="false">ROUND(U253*(1+N(Debts!$D$10)/12),2)</f>
        <v>0</v>
      </c>
      <c r="AF254" s="56" t="n">
        <f aca="false">ROUND(V253*(1+N(Debts!$D$11)/12),2)</f>
        <v>0</v>
      </c>
      <c r="AG254" s="56" t="n">
        <f aca="false">ROUND(W253*(1+N(Debts!$D$12)/12),2)</f>
        <v>0</v>
      </c>
      <c r="AH254" s="56" t="n">
        <f aca="false">ROUND(X253*(1+N(Debts!$D$13)/12),2)</f>
        <v>0</v>
      </c>
      <c r="AI254" s="56" t="n">
        <f aca="false">ROUND(Y253*(1+N(Debts!$D$14)/12),2)</f>
        <v>0</v>
      </c>
      <c r="AJ254" s="56" t="n">
        <f aca="false">MIN(Z254,MAX(0,N(Debts!$E$5)))</f>
        <v>0</v>
      </c>
      <c r="AK254" s="56" t="n">
        <f aca="false">MIN(AA254,MAX(0,N(Debts!$E$6)))</f>
        <v>0</v>
      </c>
      <c r="AL254" s="56" t="n">
        <f aca="false">MIN(AB254,MAX(0,N(Debts!$E$7)))</f>
        <v>0</v>
      </c>
      <c r="AM254" s="56" t="n">
        <f aca="false">MIN(AC254,MAX(0,N(Debts!$E$8)))</f>
        <v>0</v>
      </c>
      <c r="AN254" s="56" t="n">
        <f aca="false">MIN(AD254,MAX(0,N(Debts!$E$9)))</f>
        <v>0</v>
      </c>
      <c r="AO254" s="56" t="n">
        <f aca="false">MIN(AE254,MAX(0,N(Debts!$E$10)))</f>
        <v>0</v>
      </c>
      <c r="AP254" s="56" t="n">
        <f aca="false">MIN(AF254,MAX(0,N(Debts!$E$11)))</f>
        <v>0</v>
      </c>
      <c r="AQ254" s="56" t="n">
        <f aca="false">MIN(AG254,MAX(0,N(Debts!$E$12)))</f>
        <v>0</v>
      </c>
      <c r="AR254" s="56" t="n">
        <f aca="false">MIN(AH254,MAX(0,N(Debts!$E$13)))</f>
        <v>0</v>
      </c>
      <c r="AS254" s="56" t="n">
        <f aca="false">MIN(AI254,MAX(0,N(Debts!$E$14)))</f>
        <v>0</v>
      </c>
    </row>
    <row r="255" customFormat="false" ht="15" hidden="false" customHeight="false" outlineLevel="0" collapsed="false">
      <c r="A255" s="53" t="n">
        <v>251</v>
      </c>
      <c r="B255" s="54" t="n">
        <f aca="false">EDATE('Start Here'!$B$8,250)</f>
        <v>53936</v>
      </c>
      <c r="C255" s="42" t="n">
        <f aca="false">SUM(F255:O255)</f>
        <v>0</v>
      </c>
      <c r="D255" s="42" t="n">
        <f aca="false">ROUND(SUM($Z255:$AI255)-SUM(P254:Y254),2)</f>
        <v>0</v>
      </c>
      <c r="E255" s="55" t="n">
        <f aca="false">SUM(P255:Y255)</f>
        <v>0</v>
      </c>
      <c r="F255" s="42" t="n">
        <f aca="false">AJ255+MIN(Z255-AJ255,MAX(0,'Start Here'!$B$10-SUM($AJ255:$AS255)-SUMPRODUCT(($Z$3:$AI$3&lt;Z$3)*($Z255:$AI255-$AJ255:$AS255))))</f>
        <v>0</v>
      </c>
      <c r="G255" s="42" t="n">
        <f aca="false">AK255+MIN(AA255-AK255,MAX(0,'Start Here'!$B$10-SUM($AJ255:$AS255)-SUMPRODUCT(($Z$3:$AI$3&lt;AA$3)*($Z255:$AI255-$AJ255:$AS255))))</f>
        <v>0</v>
      </c>
      <c r="H255" s="42" t="n">
        <f aca="false">AL255+MIN(AB255-AL255,MAX(0,'Start Here'!$B$10-SUM($AJ255:$AS255)-SUMPRODUCT(($Z$3:$AI$3&lt;AB$3)*($Z255:$AI255-$AJ255:$AS255))))</f>
        <v>0</v>
      </c>
      <c r="I255" s="42" t="n">
        <f aca="false">AM255+MIN(AC255-AM255,MAX(0,'Start Here'!$B$10-SUM($AJ255:$AS255)-SUMPRODUCT(($Z$3:$AI$3&lt;AC$3)*($Z255:$AI255-$AJ255:$AS255))))</f>
        <v>0</v>
      </c>
      <c r="J255" s="42" t="n">
        <f aca="false">AN255+MIN(AD255-AN255,MAX(0,'Start Here'!$B$10-SUM($AJ255:$AS255)-SUMPRODUCT(($Z$3:$AI$3&lt;AD$3)*($Z255:$AI255-$AJ255:$AS255))))</f>
        <v>0</v>
      </c>
      <c r="K255" s="42" t="n">
        <f aca="false">AO255+MIN(AE255-AO255,MAX(0,'Start Here'!$B$10-SUM($AJ255:$AS255)-SUMPRODUCT(($Z$3:$AI$3&lt;AE$3)*($Z255:$AI255-$AJ255:$AS255))))</f>
        <v>0</v>
      </c>
      <c r="L255" s="42" t="n">
        <f aca="false">AP255+MIN(AF255-AP255,MAX(0,'Start Here'!$B$10-SUM($AJ255:$AS255)-SUMPRODUCT(($Z$3:$AI$3&lt;AF$3)*($Z255:$AI255-$AJ255:$AS255))))</f>
        <v>0</v>
      </c>
      <c r="M255" s="42" t="n">
        <f aca="false">AQ255+MIN(AG255-AQ255,MAX(0,'Start Here'!$B$10-SUM($AJ255:$AS255)-SUMPRODUCT(($Z$3:$AI$3&lt;AG$3)*($Z255:$AI255-$AJ255:$AS255))))</f>
        <v>0</v>
      </c>
      <c r="N255" s="42" t="n">
        <f aca="false">AR255+MIN(AH255-AR255,MAX(0,'Start Here'!$B$10-SUM($AJ255:$AS255)-SUMPRODUCT(($Z$3:$AI$3&lt;AH$3)*($Z255:$AI255-$AJ255:$AS255))))</f>
        <v>0</v>
      </c>
      <c r="O255" s="42" t="n">
        <f aca="false">AS255+MIN(AI255-AS255,MAX(0,'Start Here'!$B$10-SUM($AJ255:$AS255)-SUMPRODUCT(($Z$3:$AI$3&lt;AI$3)*($Z255:$AI255-$AJ255:$AS255))))</f>
        <v>0</v>
      </c>
      <c r="P255" s="42" t="n">
        <f aca="false">ROUND(Z255-F255,2)</f>
        <v>0</v>
      </c>
      <c r="Q255" s="42" t="n">
        <f aca="false">ROUND(AA255-G255,2)</f>
        <v>0</v>
      </c>
      <c r="R255" s="42" t="n">
        <f aca="false">ROUND(AB255-H255,2)</f>
        <v>0</v>
      </c>
      <c r="S255" s="42" t="n">
        <f aca="false">ROUND(AC255-I255,2)</f>
        <v>0</v>
      </c>
      <c r="T255" s="42" t="n">
        <f aca="false">ROUND(AD255-J255,2)</f>
        <v>0</v>
      </c>
      <c r="U255" s="42" t="n">
        <f aca="false">ROUND(AE255-K255,2)</f>
        <v>0</v>
      </c>
      <c r="V255" s="42" t="n">
        <f aca="false">ROUND(AF255-L255,2)</f>
        <v>0</v>
      </c>
      <c r="W255" s="42" t="n">
        <f aca="false">ROUND(AG255-M255,2)</f>
        <v>0</v>
      </c>
      <c r="X255" s="42" t="n">
        <f aca="false">ROUND(AH255-N255,2)</f>
        <v>0</v>
      </c>
      <c r="Y255" s="42" t="n">
        <f aca="false">ROUND(AI255-O255,2)</f>
        <v>0</v>
      </c>
      <c r="Z255" s="56" t="n">
        <f aca="false">ROUND(P254*(1+N(Debts!$D$5)/12),2)</f>
        <v>0</v>
      </c>
      <c r="AA255" s="56" t="n">
        <f aca="false">ROUND(Q254*(1+N(Debts!$D$6)/12),2)</f>
        <v>0</v>
      </c>
      <c r="AB255" s="56" t="n">
        <f aca="false">ROUND(R254*(1+N(Debts!$D$7)/12),2)</f>
        <v>0</v>
      </c>
      <c r="AC255" s="56" t="n">
        <f aca="false">ROUND(S254*(1+N(Debts!$D$8)/12),2)</f>
        <v>0</v>
      </c>
      <c r="AD255" s="56" t="n">
        <f aca="false">ROUND(T254*(1+N(Debts!$D$9)/12),2)</f>
        <v>0</v>
      </c>
      <c r="AE255" s="56" t="n">
        <f aca="false">ROUND(U254*(1+N(Debts!$D$10)/12),2)</f>
        <v>0</v>
      </c>
      <c r="AF255" s="56" t="n">
        <f aca="false">ROUND(V254*(1+N(Debts!$D$11)/12),2)</f>
        <v>0</v>
      </c>
      <c r="AG255" s="56" t="n">
        <f aca="false">ROUND(W254*(1+N(Debts!$D$12)/12),2)</f>
        <v>0</v>
      </c>
      <c r="AH255" s="56" t="n">
        <f aca="false">ROUND(X254*(1+N(Debts!$D$13)/12),2)</f>
        <v>0</v>
      </c>
      <c r="AI255" s="56" t="n">
        <f aca="false">ROUND(Y254*(1+N(Debts!$D$14)/12),2)</f>
        <v>0</v>
      </c>
      <c r="AJ255" s="56" t="n">
        <f aca="false">MIN(Z255,MAX(0,N(Debts!$E$5)))</f>
        <v>0</v>
      </c>
      <c r="AK255" s="56" t="n">
        <f aca="false">MIN(AA255,MAX(0,N(Debts!$E$6)))</f>
        <v>0</v>
      </c>
      <c r="AL255" s="56" t="n">
        <f aca="false">MIN(AB255,MAX(0,N(Debts!$E$7)))</f>
        <v>0</v>
      </c>
      <c r="AM255" s="56" t="n">
        <f aca="false">MIN(AC255,MAX(0,N(Debts!$E$8)))</f>
        <v>0</v>
      </c>
      <c r="AN255" s="56" t="n">
        <f aca="false">MIN(AD255,MAX(0,N(Debts!$E$9)))</f>
        <v>0</v>
      </c>
      <c r="AO255" s="56" t="n">
        <f aca="false">MIN(AE255,MAX(0,N(Debts!$E$10)))</f>
        <v>0</v>
      </c>
      <c r="AP255" s="56" t="n">
        <f aca="false">MIN(AF255,MAX(0,N(Debts!$E$11)))</f>
        <v>0</v>
      </c>
      <c r="AQ255" s="56" t="n">
        <f aca="false">MIN(AG255,MAX(0,N(Debts!$E$12)))</f>
        <v>0</v>
      </c>
      <c r="AR255" s="56" t="n">
        <f aca="false">MIN(AH255,MAX(0,N(Debts!$E$13)))</f>
        <v>0</v>
      </c>
      <c r="AS255" s="56" t="n">
        <f aca="false">MIN(AI255,MAX(0,N(Debts!$E$14)))</f>
        <v>0</v>
      </c>
    </row>
    <row r="256" customFormat="false" ht="15" hidden="false" customHeight="false" outlineLevel="0" collapsed="false">
      <c r="A256" s="53" t="n">
        <v>252</v>
      </c>
      <c r="B256" s="54" t="n">
        <f aca="false">EDATE('Start Here'!$B$8,251)</f>
        <v>53966</v>
      </c>
      <c r="C256" s="42" t="n">
        <f aca="false">SUM(F256:O256)</f>
        <v>0</v>
      </c>
      <c r="D256" s="42" t="n">
        <f aca="false">ROUND(SUM($Z256:$AI256)-SUM(P255:Y255),2)</f>
        <v>0</v>
      </c>
      <c r="E256" s="55" t="n">
        <f aca="false">SUM(P256:Y256)</f>
        <v>0</v>
      </c>
      <c r="F256" s="42" t="n">
        <f aca="false">AJ256+MIN(Z256-AJ256,MAX(0,'Start Here'!$B$10-SUM($AJ256:$AS256)-SUMPRODUCT(($Z$3:$AI$3&lt;Z$3)*($Z256:$AI256-$AJ256:$AS256))))</f>
        <v>0</v>
      </c>
      <c r="G256" s="42" t="n">
        <f aca="false">AK256+MIN(AA256-AK256,MAX(0,'Start Here'!$B$10-SUM($AJ256:$AS256)-SUMPRODUCT(($Z$3:$AI$3&lt;AA$3)*($Z256:$AI256-$AJ256:$AS256))))</f>
        <v>0</v>
      </c>
      <c r="H256" s="42" t="n">
        <f aca="false">AL256+MIN(AB256-AL256,MAX(0,'Start Here'!$B$10-SUM($AJ256:$AS256)-SUMPRODUCT(($Z$3:$AI$3&lt;AB$3)*($Z256:$AI256-$AJ256:$AS256))))</f>
        <v>0</v>
      </c>
      <c r="I256" s="42" t="n">
        <f aca="false">AM256+MIN(AC256-AM256,MAX(0,'Start Here'!$B$10-SUM($AJ256:$AS256)-SUMPRODUCT(($Z$3:$AI$3&lt;AC$3)*($Z256:$AI256-$AJ256:$AS256))))</f>
        <v>0</v>
      </c>
      <c r="J256" s="42" t="n">
        <f aca="false">AN256+MIN(AD256-AN256,MAX(0,'Start Here'!$B$10-SUM($AJ256:$AS256)-SUMPRODUCT(($Z$3:$AI$3&lt;AD$3)*($Z256:$AI256-$AJ256:$AS256))))</f>
        <v>0</v>
      </c>
      <c r="K256" s="42" t="n">
        <f aca="false">AO256+MIN(AE256-AO256,MAX(0,'Start Here'!$B$10-SUM($AJ256:$AS256)-SUMPRODUCT(($Z$3:$AI$3&lt;AE$3)*($Z256:$AI256-$AJ256:$AS256))))</f>
        <v>0</v>
      </c>
      <c r="L256" s="42" t="n">
        <f aca="false">AP256+MIN(AF256-AP256,MAX(0,'Start Here'!$B$10-SUM($AJ256:$AS256)-SUMPRODUCT(($Z$3:$AI$3&lt;AF$3)*($Z256:$AI256-$AJ256:$AS256))))</f>
        <v>0</v>
      </c>
      <c r="M256" s="42" t="n">
        <f aca="false">AQ256+MIN(AG256-AQ256,MAX(0,'Start Here'!$B$10-SUM($AJ256:$AS256)-SUMPRODUCT(($Z$3:$AI$3&lt;AG$3)*($Z256:$AI256-$AJ256:$AS256))))</f>
        <v>0</v>
      </c>
      <c r="N256" s="42" t="n">
        <f aca="false">AR256+MIN(AH256-AR256,MAX(0,'Start Here'!$B$10-SUM($AJ256:$AS256)-SUMPRODUCT(($Z$3:$AI$3&lt;AH$3)*($Z256:$AI256-$AJ256:$AS256))))</f>
        <v>0</v>
      </c>
      <c r="O256" s="42" t="n">
        <f aca="false">AS256+MIN(AI256-AS256,MAX(0,'Start Here'!$B$10-SUM($AJ256:$AS256)-SUMPRODUCT(($Z$3:$AI$3&lt;AI$3)*($Z256:$AI256-$AJ256:$AS256))))</f>
        <v>0</v>
      </c>
      <c r="P256" s="42" t="n">
        <f aca="false">ROUND(Z256-F256,2)</f>
        <v>0</v>
      </c>
      <c r="Q256" s="42" t="n">
        <f aca="false">ROUND(AA256-G256,2)</f>
        <v>0</v>
      </c>
      <c r="R256" s="42" t="n">
        <f aca="false">ROUND(AB256-H256,2)</f>
        <v>0</v>
      </c>
      <c r="S256" s="42" t="n">
        <f aca="false">ROUND(AC256-I256,2)</f>
        <v>0</v>
      </c>
      <c r="T256" s="42" t="n">
        <f aca="false">ROUND(AD256-J256,2)</f>
        <v>0</v>
      </c>
      <c r="U256" s="42" t="n">
        <f aca="false">ROUND(AE256-K256,2)</f>
        <v>0</v>
      </c>
      <c r="V256" s="42" t="n">
        <f aca="false">ROUND(AF256-L256,2)</f>
        <v>0</v>
      </c>
      <c r="W256" s="42" t="n">
        <f aca="false">ROUND(AG256-M256,2)</f>
        <v>0</v>
      </c>
      <c r="X256" s="42" t="n">
        <f aca="false">ROUND(AH256-N256,2)</f>
        <v>0</v>
      </c>
      <c r="Y256" s="42" t="n">
        <f aca="false">ROUND(AI256-O256,2)</f>
        <v>0</v>
      </c>
      <c r="Z256" s="56" t="n">
        <f aca="false">ROUND(P255*(1+N(Debts!$D$5)/12),2)</f>
        <v>0</v>
      </c>
      <c r="AA256" s="56" t="n">
        <f aca="false">ROUND(Q255*(1+N(Debts!$D$6)/12),2)</f>
        <v>0</v>
      </c>
      <c r="AB256" s="56" t="n">
        <f aca="false">ROUND(R255*(1+N(Debts!$D$7)/12),2)</f>
        <v>0</v>
      </c>
      <c r="AC256" s="56" t="n">
        <f aca="false">ROUND(S255*(1+N(Debts!$D$8)/12),2)</f>
        <v>0</v>
      </c>
      <c r="AD256" s="56" t="n">
        <f aca="false">ROUND(T255*(1+N(Debts!$D$9)/12),2)</f>
        <v>0</v>
      </c>
      <c r="AE256" s="56" t="n">
        <f aca="false">ROUND(U255*(1+N(Debts!$D$10)/12),2)</f>
        <v>0</v>
      </c>
      <c r="AF256" s="56" t="n">
        <f aca="false">ROUND(V255*(1+N(Debts!$D$11)/12),2)</f>
        <v>0</v>
      </c>
      <c r="AG256" s="56" t="n">
        <f aca="false">ROUND(W255*(1+N(Debts!$D$12)/12),2)</f>
        <v>0</v>
      </c>
      <c r="AH256" s="56" t="n">
        <f aca="false">ROUND(X255*(1+N(Debts!$D$13)/12),2)</f>
        <v>0</v>
      </c>
      <c r="AI256" s="56" t="n">
        <f aca="false">ROUND(Y255*(1+N(Debts!$D$14)/12),2)</f>
        <v>0</v>
      </c>
      <c r="AJ256" s="56" t="n">
        <f aca="false">MIN(Z256,MAX(0,N(Debts!$E$5)))</f>
        <v>0</v>
      </c>
      <c r="AK256" s="56" t="n">
        <f aca="false">MIN(AA256,MAX(0,N(Debts!$E$6)))</f>
        <v>0</v>
      </c>
      <c r="AL256" s="56" t="n">
        <f aca="false">MIN(AB256,MAX(0,N(Debts!$E$7)))</f>
        <v>0</v>
      </c>
      <c r="AM256" s="56" t="n">
        <f aca="false">MIN(AC256,MAX(0,N(Debts!$E$8)))</f>
        <v>0</v>
      </c>
      <c r="AN256" s="56" t="n">
        <f aca="false">MIN(AD256,MAX(0,N(Debts!$E$9)))</f>
        <v>0</v>
      </c>
      <c r="AO256" s="56" t="n">
        <f aca="false">MIN(AE256,MAX(0,N(Debts!$E$10)))</f>
        <v>0</v>
      </c>
      <c r="AP256" s="56" t="n">
        <f aca="false">MIN(AF256,MAX(0,N(Debts!$E$11)))</f>
        <v>0</v>
      </c>
      <c r="AQ256" s="56" t="n">
        <f aca="false">MIN(AG256,MAX(0,N(Debts!$E$12)))</f>
        <v>0</v>
      </c>
      <c r="AR256" s="56" t="n">
        <f aca="false">MIN(AH256,MAX(0,N(Debts!$E$13)))</f>
        <v>0</v>
      </c>
      <c r="AS256" s="56" t="n">
        <f aca="false">MIN(AI256,MAX(0,N(Debts!$E$14)))</f>
        <v>0</v>
      </c>
    </row>
    <row r="257" customFormat="false" ht="15" hidden="false" customHeight="false" outlineLevel="0" collapsed="false">
      <c r="A257" s="53" t="n">
        <v>253</v>
      </c>
      <c r="B257" s="54" t="n">
        <f aca="false">EDATE('Start Here'!$B$8,252)</f>
        <v>53997</v>
      </c>
      <c r="C257" s="42" t="n">
        <f aca="false">SUM(F257:O257)</f>
        <v>0</v>
      </c>
      <c r="D257" s="42" t="n">
        <f aca="false">ROUND(SUM($Z257:$AI257)-SUM(P256:Y256),2)</f>
        <v>0</v>
      </c>
      <c r="E257" s="55" t="n">
        <f aca="false">SUM(P257:Y257)</f>
        <v>0</v>
      </c>
      <c r="F257" s="42" t="n">
        <f aca="false">AJ257+MIN(Z257-AJ257,MAX(0,'Start Here'!$B$10-SUM($AJ257:$AS257)-SUMPRODUCT(($Z$3:$AI$3&lt;Z$3)*($Z257:$AI257-$AJ257:$AS257))))</f>
        <v>0</v>
      </c>
      <c r="G257" s="42" t="n">
        <f aca="false">AK257+MIN(AA257-AK257,MAX(0,'Start Here'!$B$10-SUM($AJ257:$AS257)-SUMPRODUCT(($Z$3:$AI$3&lt;AA$3)*($Z257:$AI257-$AJ257:$AS257))))</f>
        <v>0</v>
      </c>
      <c r="H257" s="42" t="n">
        <f aca="false">AL257+MIN(AB257-AL257,MAX(0,'Start Here'!$B$10-SUM($AJ257:$AS257)-SUMPRODUCT(($Z$3:$AI$3&lt;AB$3)*($Z257:$AI257-$AJ257:$AS257))))</f>
        <v>0</v>
      </c>
      <c r="I257" s="42" t="n">
        <f aca="false">AM257+MIN(AC257-AM257,MAX(0,'Start Here'!$B$10-SUM($AJ257:$AS257)-SUMPRODUCT(($Z$3:$AI$3&lt;AC$3)*($Z257:$AI257-$AJ257:$AS257))))</f>
        <v>0</v>
      </c>
      <c r="J257" s="42" t="n">
        <f aca="false">AN257+MIN(AD257-AN257,MAX(0,'Start Here'!$B$10-SUM($AJ257:$AS257)-SUMPRODUCT(($Z$3:$AI$3&lt;AD$3)*($Z257:$AI257-$AJ257:$AS257))))</f>
        <v>0</v>
      </c>
      <c r="K257" s="42" t="n">
        <f aca="false">AO257+MIN(AE257-AO257,MAX(0,'Start Here'!$B$10-SUM($AJ257:$AS257)-SUMPRODUCT(($Z$3:$AI$3&lt;AE$3)*($Z257:$AI257-$AJ257:$AS257))))</f>
        <v>0</v>
      </c>
      <c r="L257" s="42" t="n">
        <f aca="false">AP257+MIN(AF257-AP257,MAX(0,'Start Here'!$B$10-SUM($AJ257:$AS257)-SUMPRODUCT(($Z$3:$AI$3&lt;AF$3)*($Z257:$AI257-$AJ257:$AS257))))</f>
        <v>0</v>
      </c>
      <c r="M257" s="42" t="n">
        <f aca="false">AQ257+MIN(AG257-AQ257,MAX(0,'Start Here'!$B$10-SUM($AJ257:$AS257)-SUMPRODUCT(($Z$3:$AI$3&lt;AG$3)*($Z257:$AI257-$AJ257:$AS257))))</f>
        <v>0</v>
      </c>
      <c r="N257" s="42" t="n">
        <f aca="false">AR257+MIN(AH257-AR257,MAX(0,'Start Here'!$B$10-SUM($AJ257:$AS257)-SUMPRODUCT(($Z$3:$AI$3&lt;AH$3)*($Z257:$AI257-$AJ257:$AS257))))</f>
        <v>0</v>
      </c>
      <c r="O257" s="42" t="n">
        <f aca="false">AS257+MIN(AI257-AS257,MAX(0,'Start Here'!$B$10-SUM($AJ257:$AS257)-SUMPRODUCT(($Z$3:$AI$3&lt;AI$3)*($Z257:$AI257-$AJ257:$AS257))))</f>
        <v>0</v>
      </c>
      <c r="P257" s="42" t="n">
        <f aca="false">ROUND(Z257-F257,2)</f>
        <v>0</v>
      </c>
      <c r="Q257" s="42" t="n">
        <f aca="false">ROUND(AA257-G257,2)</f>
        <v>0</v>
      </c>
      <c r="R257" s="42" t="n">
        <f aca="false">ROUND(AB257-H257,2)</f>
        <v>0</v>
      </c>
      <c r="S257" s="42" t="n">
        <f aca="false">ROUND(AC257-I257,2)</f>
        <v>0</v>
      </c>
      <c r="T257" s="42" t="n">
        <f aca="false">ROUND(AD257-J257,2)</f>
        <v>0</v>
      </c>
      <c r="U257" s="42" t="n">
        <f aca="false">ROUND(AE257-K257,2)</f>
        <v>0</v>
      </c>
      <c r="V257" s="42" t="n">
        <f aca="false">ROUND(AF257-L257,2)</f>
        <v>0</v>
      </c>
      <c r="W257" s="42" t="n">
        <f aca="false">ROUND(AG257-M257,2)</f>
        <v>0</v>
      </c>
      <c r="X257" s="42" t="n">
        <f aca="false">ROUND(AH257-N257,2)</f>
        <v>0</v>
      </c>
      <c r="Y257" s="42" t="n">
        <f aca="false">ROUND(AI257-O257,2)</f>
        <v>0</v>
      </c>
      <c r="Z257" s="56" t="n">
        <f aca="false">ROUND(P256*(1+N(Debts!$D$5)/12),2)</f>
        <v>0</v>
      </c>
      <c r="AA257" s="56" t="n">
        <f aca="false">ROUND(Q256*(1+N(Debts!$D$6)/12),2)</f>
        <v>0</v>
      </c>
      <c r="AB257" s="56" t="n">
        <f aca="false">ROUND(R256*(1+N(Debts!$D$7)/12),2)</f>
        <v>0</v>
      </c>
      <c r="AC257" s="56" t="n">
        <f aca="false">ROUND(S256*(1+N(Debts!$D$8)/12),2)</f>
        <v>0</v>
      </c>
      <c r="AD257" s="56" t="n">
        <f aca="false">ROUND(T256*(1+N(Debts!$D$9)/12),2)</f>
        <v>0</v>
      </c>
      <c r="AE257" s="56" t="n">
        <f aca="false">ROUND(U256*(1+N(Debts!$D$10)/12),2)</f>
        <v>0</v>
      </c>
      <c r="AF257" s="56" t="n">
        <f aca="false">ROUND(V256*(1+N(Debts!$D$11)/12),2)</f>
        <v>0</v>
      </c>
      <c r="AG257" s="56" t="n">
        <f aca="false">ROUND(W256*(1+N(Debts!$D$12)/12),2)</f>
        <v>0</v>
      </c>
      <c r="AH257" s="56" t="n">
        <f aca="false">ROUND(X256*(1+N(Debts!$D$13)/12),2)</f>
        <v>0</v>
      </c>
      <c r="AI257" s="56" t="n">
        <f aca="false">ROUND(Y256*(1+N(Debts!$D$14)/12),2)</f>
        <v>0</v>
      </c>
      <c r="AJ257" s="56" t="n">
        <f aca="false">MIN(Z257,MAX(0,N(Debts!$E$5)))</f>
        <v>0</v>
      </c>
      <c r="AK257" s="56" t="n">
        <f aca="false">MIN(AA257,MAX(0,N(Debts!$E$6)))</f>
        <v>0</v>
      </c>
      <c r="AL257" s="56" t="n">
        <f aca="false">MIN(AB257,MAX(0,N(Debts!$E$7)))</f>
        <v>0</v>
      </c>
      <c r="AM257" s="56" t="n">
        <f aca="false">MIN(AC257,MAX(0,N(Debts!$E$8)))</f>
        <v>0</v>
      </c>
      <c r="AN257" s="56" t="n">
        <f aca="false">MIN(AD257,MAX(0,N(Debts!$E$9)))</f>
        <v>0</v>
      </c>
      <c r="AO257" s="56" t="n">
        <f aca="false">MIN(AE257,MAX(0,N(Debts!$E$10)))</f>
        <v>0</v>
      </c>
      <c r="AP257" s="56" t="n">
        <f aca="false">MIN(AF257,MAX(0,N(Debts!$E$11)))</f>
        <v>0</v>
      </c>
      <c r="AQ257" s="56" t="n">
        <f aca="false">MIN(AG257,MAX(0,N(Debts!$E$12)))</f>
        <v>0</v>
      </c>
      <c r="AR257" s="56" t="n">
        <f aca="false">MIN(AH257,MAX(0,N(Debts!$E$13)))</f>
        <v>0</v>
      </c>
      <c r="AS257" s="56" t="n">
        <f aca="false">MIN(AI257,MAX(0,N(Debts!$E$14)))</f>
        <v>0</v>
      </c>
    </row>
    <row r="258" customFormat="false" ht="15" hidden="false" customHeight="false" outlineLevel="0" collapsed="false">
      <c r="A258" s="53" t="n">
        <v>254</v>
      </c>
      <c r="B258" s="54" t="n">
        <f aca="false">EDATE('Start Here'!$B$8,253)</f>
        <v>54027</v>
      </c>
      <c r="C258" s="42" t="n">
        <f aca="false">SUM(F258:O258)</f>
        <v>0</v>
      </c>
      <c r="D258" s="42" t="n">
        <f aca="false">ROUND(SUM($Z258:$AI258)-SUM(P257:Y257),2)</f>
        <v>0</v>
      </c>
      <c r="E258" s="55" t="n">
        <f aca="false">SUM(P258:Y258)</f>
        <v>0</v>
      </c>
      <c r="F258" s="42" t="n">
        <f aca="false">AJ258+MIN(Z258-AJ258,MAX(0,'Start Here'!$B$10-SUM($AJ258:$AS258)-SUMPRODUCT(($Z$3:$AI$3&lt;Z$3)*($Z258:$AI258-$AJ258:$AS258))))</f>
        <v>0</v>
      </c>
      <c r="G258" s="42" t="n">
        <f aca="false">AK258+MIN(AA258-AK258,MAX(0,'Start Here'!$B$10-SUM($AJ258:$AS258)-SUMPRODUCT(($Z$3:$AI$3&lt;AA$3)*($Z258:$AI258-$AJ258:$AS258))))</f>
        <v>0</v>
      </c>
      <c r="H258" s="42" t="n">
        <f aca="false">AL258+MIN(AB258-AL258,MAX(0,'Start Here'!$B$10-SUM($AJ258:$AS258)-SUMPRODUCT(($Z$3:$AI$3&lt;AB$3)*($Z258:$AI258-$AJ258:$AS258))))</f>
        <v>0</v>
      </c>
      <c r="I258" s="42" t="n">
        <f aca="false">AM258+MIN(AC258-AM258,MAX(0,'Start Here'!$B$10-SUM($AJ258:$AS258)-SUMPRODUCT(($Z$3:$AI$3&lt;AC$3)*($Z258:$AI258-$AJ258:$AS258))))</f>
        <v>0</v>
      </c>
      <c r="J258" s="42" t="n">
        <f aca="false">AN258+MIN(AD258-AN258,MAX(0,'Start Here'!$B$10-SUM($AJ258:$AS258)-SUMPRODUCT(($Z$3:$AI$3&lt;AD$3)*($Z258:$AI258-$AJ258:$AS258))))</f>
        <v>0</v>
      </c>
      <c r="K258" s="42" t="n">
        <f aca="false">AO258+MIN(AE258-AO258,MAX(0,'Start Here'!$B$10-SUM($AJ258:$AS258)-SUMPRODUCT(($Z$3:$AI$3&lt;AE$3)*($Z258:$AI258-$AJ258:$AS258))))</f>
        <v>0</v>
      </c>
      <c r="L258" s="42" t="n">
        <f aca="false">AP258+MIN(AF258-AP258,MAX(0,'Start Here'!$B$10-SUM($AJ258:$AS258)-SUMPRODUCT(($Z$3:$AI$3&lt;AF$3)*($Z258:$AI258-$AJ258:$AS258))))</f>
        <v>0</v>
      </c>
      <c r="M258" s="42" t="n">
        <f aca="false">AQ258+MIN(AG258-AQ258,MAX(0,'Start Here'!$B$10-SUM($AJ258:$AS258)-SUMPRODUCT(($Z$3:$AI$3&lt;AG$3)*($Z258:$AI258-$AJ258:$AS258))))</f>
        <v>0</v>
      </c>
      <c r="N258" s="42" t="n">
        <f aca="false">AR258+MIN(AH258-AR258,MAX(0,'Start Here'!$B$10-SUM($AJ258:$AS258)-SUMPRODUCT(($Z$3:$AI$3&lt;AH$3)*($Z258:$AI258-$AJ258:$AS258))))</f>
        <v>0</v>
      </c>
      <c r="O258" s="42" t="n">
        <f aca="false">AS258+MIN(AI258-AS258,MAX(0,'Start Here'!$B$10-SUM($AJ258:$AS258)-SUMPRODUCT(($Z$3:$AI$3&lt;AI$3)*($Z258:$AI258-$AJ258:$AS258))))</f>
        <v>0</v>
      </c>
      <c r="P258" s="42" t="n">
        <f aca="false">ROUND(Z258-F258,2)</f>
        <v>0</v>
      </c>
      <c r="Q258" s="42" t="n">
        <f aca="false">ROUND(AA258-G258,2)</f>
        <v>0</v>
      </c>
      <c r="R258" s="42" t="n">
        <f aca="false">ROUND(AB258-H258,2)</f>
        <v>0</v>
      </c>
      <c r="S258" s="42" t="n">
        <f aca="false">ROUND(AC258-I258,2)</f>
        <v>0</v>
      </c>
      <c r="T258" s="42" t="n">
        <f aca="false">ROUND(AD258-J258,2)</f>
        <v>0</v>
      </c>
      <c r="U258" s="42" t="n">
        <f aca="false">ROUND(AE258-K258,2)</f>
        <v>0</v>
      </c>
      <c r="V258" s="42" t="n">
        <f aca="false">ROUND(AF258-L258,2)</f>
        <v>0</v>
      </c>
      <c r="W258" s="42" t="n">
        <f aca="false">ROUND(AG258-M258,2)</f>
        <v>0</v>
      </c>
      <c r="X258" s="42" t="n">
        <f aca="false">ROUND(AH258-N258,2)</f>
        <v>0</v>
      </c>
      <c r="Y258" s="42" t="n">
        <f aca="false">ROUND(AI258-O258,2)</f>
        <v>0</v>
      </c>
      <c r="Z258" s="56" t="n">
        <f aca="false">ROUND(P257*(1+N(Debts!$D$5)/12),2)</f>
        <v>0</v>
      </c>
      <c r="AA258" s="56" t="n">
        <f aca="false">ROUND(Q257*(1+N(Debts!$D$6)/12),2)</f>
        <v>0</v>
      </c>
      <c r="AB258" s="56" t="n">
        <f aca="false">ROUND(R257*(1+N(Debts!$D$7)/12),2)</f>
        <v>0</v>
      </c>
      <c r="AC258" s="56" t="n">
        <f aca="false">ROUND(S257*(1+N(Debts!$D$8)/12),2)</f>
        <v>0</v>
      </c>
      <c r="AD258" s="56" t="n">
        <f aca="false">ROUND(T257*(1+N(Debts!$D$9)/12),2)</f>
        <v>0</v>
      </c>
      <c r="AE258" s="56" t="n">
        <f aca="false">ROUND(U257*(1+N(Debts!$D$10)/12),2)</f>
        <v>0</v>
      </c>
      <c r="AF258" s="56" t="n">
        <f aca="false">ROUND(V257*(1+N(Debts!$D$11)/12),2)</f>
        <v>0</v>
      </c>
      <c r="AG258" s="56" t="n">
        <f aca="false">ROUND(W257*(1+N(Debts!$D$12)/12),2)</f>
        <v>0</v>
      </c>
      <c r="AH258" s="56" t="n">
        <f aca="false">ROUND(X257*(1+N(Debts!$D$13)/12),2)</f>
        <v>0</v>
      </c>
      <c r="AI258" s="56" t="n">
        <f aca="false">ROUND(Y257*(1+N(Debts!$D$14)/12),2)</f>
        <v>0</v>
      </c>
      <c r="AJ258" s="56" t="n">
        <f aca="false">MIN(Z258,MAX(0,N(Debts!$E$5)))</f>
        <v>0</v>
      </c>
      <c r="AK258" s="56" t="n">
        <f aca="false">MIN(AA258,MAX(0,N(Debts!$E$6)))</f>
        <v>0</v>
      </c>
      <c r="AL258" s="56" t="n">
        <f aca="false">MIN(AB258,MAX(0,N(Debts!$E$7)))</f>
        <v>0</v>
      </c>
      <c r="AM258" s="56" t="n">
        <f aca="false">MIN(AC258,MAX(0,N(Debts!$E$8)))</f>
        <v>0</v>
      </c>
      <c r="AN258" s="56" t="n">
        <f aca="false">MIN(AD258,MAX(0,N(Debts!$E$9)))</f>
        <v>0</v>
      </c>
      <c r="AO258" s="56" t="n">
        <f aca="false">MIN(AE258,MAX(0,N(Debts!$E$10)))</f>
        <v>0</v>
      </c>
      <c r="AP258" s="56" t="n">
        <f aca="false">MIN(AF258,MAX(0,N(Debts!$E$11)))</f>
        <v>0</v>
      </c>
      <c r="AQ258" s="56" t="n">
        <f aca="false">MIN(AG258,MAX(0,N(Debts!$E$12)))</f>
        <v>0</v>
      </c>
      <c r="AR258" s="56" t="n">
        <f aca="false">MIN(AH258,MAX(0,N(Debts!$E$13)))</f>
        <v>0</v>
      </c>
      <c r="AS258" s="56" t="n">
        <f aca="false">MIN(AI258,MAX(0,N(Debts!$E$14)))</f>
        <v>0</v>
      </c>
    </row>
    <row r="259" customFormat="false" ht="15" hidden="false" customHeight="false" outlineLevel="0" collapsed="false">
      <c r="A259" s="53" t="n">
        <v>255</v>
      </c>
      <c r="B259" s="54" t="n">
        <f aca="false">EDATE('Start Here'!$B$8,254)</f>
        <v>54058</v>
      </c>
      <c r="C259" s="42" t="n">
        <f aca="false">SUM(F259:O259)</f>
        <v>0</v>
      </c>
      <c r="D259" s="42" t="n">
        <f aca="false">ROUND(SUM($Z259:$AI259)-SUM(P258:Y258),2)</f>
        <v>0</v>
      </c>
      <c r="E259" s="55" t="n">
        <f aca="false">SUM(P259:Y259)</f>
        <v>0</v>
      </c>
      <c r="F259" s="42" t="n">
        <f aca="false">AJ259+MIN(Z259-AJ259,MAX(0,'Start Here'!$B$10-SUM($AJ259:$AS259)-SUMPRODUCT(($Z$3:$AI$3&lt;Z$3)*($Z259:$AI259-$AJ259:$AS259))))</f>
        <v>0</v>
      </c>
      <c r="G259" s="42" t="n">
        <f aca="false">AK259+MIN(AA259-AK259,MAX(0,'Start Here'!$B$10-SUM($AJ259:$AS259)-SUMPRODUCT(($Z$3:$AI$3&lt;AA$3)*($Z259:$AI259-$AJ259:$AS259))))</f>
        <v>0</v>
      </c>
      <c r="H259" s="42" t="n">
        <f aca="false">AL259+MIN(AB259-AL259,MAX(0,'Start Here'!$B$10-SUM($AJ259:$AS259)-SUMPRODUCT(($Z$3:$AI$3&lt;AB$3)*($Z259:$AI259-$AJ259:$AS259))))</f>
        <v>0</v>
      </c>
      <c r="I259" s="42" t="n">
        <f aca="false">AM259+MIN(AC259-AM259,MAX(0,'Start Here'!$B$10-SUM($AJ259:$AS259)-SUMPRODUCT(($Z$3:$AI$3&lt;AC$3)*($Z259:$AI259-$AJ259:$AS259))))</f>
        <v>0</v>
      </c>
      <c r="J259" s="42" t="n">
        <f aca="false">AN259+MIN(AD259-AN259,MAX(0,'Start Here'!$B$10-SUM($AJ259:$AS259)-SUMPRODUCT(($Z$3:$AI$3&lt;AD$3)*($Z259:$AI259-$AJ259:$AS259))))</f>
        <v>0</v>
      </c>
      <c r="K259" s="42" t="n">
        <f aca="false">AO259+MIN(AE259-AO259,MAX(0,'Start Here'!$B$10-SUM($AJ259:$AS259)-SUMPRODUCT(($Z$3:$AI$3&lt;AE$3)*($Z259:$AI259-$AJ259:$AS259))))</f>
        <v>0</v>
      </c>
      <c r="L259" s="42" t="n">
        <f aca="false">AP259+MIN(AF259-AP259,MAX(0,'Start Here'!$B$10-SUM($AJ259:$AS259)-SUMPRODUCT(($Z$3:$AI$3&lt;AF$3)*($Z259:$AI259-$AJ259:$AS259))))</f>
        <v>0</v>
      </c>
      <c r="M259" s="42" t="n">
        <f aca="false">AQ259+MIN(AG259-AQ259,MAX(0,'Start Here'!$B$10-SUM($AJ259:$AS259)-SUMPRODUCT(($Z$3:$AI$3&lt;AG$3)*($Z259:$AI259-$AJ259:$AS259))))</f>
        <v>0</v>
      </c>
      <c r="N259" s="42" t="n">
        <f aca="false">AR259+MIN(AH259-AR259,MAX(0,'Start Here'!$B$10-SUM($AJ259:$AS259)-SUMPRODUCT(($Z$3:$AI$3&lt;AH$3)*($Z259:$AI259-$AJ259:$AS259))))</f>
        <v>0</v>
      </c>
      <c r="O259" s="42" t="n">
        <f aca="false">AS259+MIN(AI259-AS259,MAX(0,'Start Here'!$B$10-SUM($AJ259:$AS259)-SUMPRODUCT(($Z$3:$AI$3&lt;AI$3)*($Z259:$AI259-$AJ259:$AS259))))</f>
        <v>0</v>
      </c>
      <c r="P259" s="42" t="n">
        <f aca="false">ROUND(Z259-F259,2)</f>
        <v>0</v>
      </c>
      <c r="Q259" s="42" t="n">
        <f aca="false">ROUND(AA259-G259,2)</f>
        <v>0</v>
      </c>
      <c r="R259" s="42" t="n">
        <f aca="false">ROUND(AB259-H259,2)</f>
        <v>0</v>
      </c>
      <c r="S259" s="42" t="n">
        <f aca="false">ROUND(AC259-I259,2)</f>
        <v>0</v>
      </c>
      <c r="T259" s="42" t="n">
        <f aca="false">ROUND(AD259-J259,2)</f>
        <v>0</v>
      </c>
      <c r="U259" s="42" t="n">
        <f aca="false">ROUND(AE259-K259,2)</f>
        <v>0</v>
      </c>
      <c r="V259" s="42" t="n">
        <f aca="false">ROUND(AF259-L259,2)</f>
        <v>0</v>
      </c>
      <c r="W259" s="42" t="n">
        <f aca="false">ROUND(AG259-M259,2)</f>
        <v>0</v>
      </c>
      <c r="X259" s="42" t="n">
        <f aca="false">ROUND(AH259-N259,2)</f>
        <v>0</v>
      </c>
      <c r="Y259" s="42" t="n">
        <f aca="false">ROUND(AI259-O259,2)</f>
        <v>0</v>
      </c>
      <c r="Z259" s="56" t="n">
        <f aca="false">ROUND(P258*(1+N(Debts!$D$5)/12),2)</f>
        <v>0</v>
      </c>
      <c r="AA259" s="56" t="n">
        <f aca="false">ROUND(Q258*(1+N(Debts!$D$6)/12),2)</f>
        <v>0</v>
      </c>
      <c r="AB259" s="56" t="n">
        <f aca="false">ROUND(R258*(1+N(Debts!$D$7)/12),2)</f>
        <v>0</v>
      </c>
      <c r="AC259" s="56" t="n">
        <f aca="false">ROUND(S258*(1+N(Debts!$D$8)/12),2)</f>
        <v>0</v>
      </c>
      <c r="AD259" s="56" t="n">
        <f aca="false">ROUND(T258*(1+N(Debts!$D$9)/12),2)</f>
        <v>0</v>
      </c>
      <c r="AE259" s="56" t="n">
        <f aca="false">ROUND(U258*(1+N(Debts!$D$10)/12),2)</f>
        <v>0</v>
      </c>
      <c r="AF259" s="56" t="n">
        <f aca="false">ROUND(V258*(1+N(Debts!$D$11)/12),2)</f>
        <v>0</v>
      </c>
      <c r="AG259" s="56" t="n">
        <f aca="false">ROUND(W258*(1+N(Debts!$D$12)/12),2)</f>
        <v>0</v>
      </c>
      <c r="AH259" s="56" t="n">
        <f aca="false">ROUND(X258*(1+N(Debts!$D$13)/12),2)</f>
        <v>0</v>
      </c>
      <c r="AI259" s="56" t="n">
        <f aca="false">ROUND(Y258*(1+N(Debts!$D$14)/12),2)</f>
        <v>0</v>
      </c>
      <c r="AJ259" s="56" t="n">
        <f aca="false">MIN(Z259,MAX(0,N(Debts!$E$5)))</f>
        <v>0</v>
      </c>
      <c r="AK259" s="56" t="n">
        <f aca="false">MIN(AA259,MAX(0,N(Debts!$E$6)))</f>
        <v>0</v>
      </c>
      <c r="AL259" s="56" t="n">
        <f aca="false">MIN(AB259,MAX(0,N(Debts!$E$7)))</f>
        <v>0</v>
      </c>
      <c r="AM259" s="56" t="n">
        <f aca="false">MIN(AC259,MAX(0,N(Debts!$E$8)))</f>
        <v>0</v>
      </c>
      <c r="AN259" s="56" t="n">
        <f aca="false">MIN(AD259,MAX(0,N(Debts!$E$9)))</f>
        <v>0</v>
      </c>
      <c r="AO259" s="56" t="n">
        <f aca="false">MIN(AE259,MAX(0,N(Debts!$E$10)))</f>
        <v>0</v>
      </c>
      <c r="AP259" s="56" t="n">
        <f aca="false">MIN(AF259,MAX(0,N(Debts!$E$11)))</f>
        <v>0</v>
      </c>
      <c r="AQ259" s="56" t="n">
        <f aca="false">MIN(AG259,MAX(0,N(Debts!$E$12)))</f>
        <v>0</v>
      </c>
      <c r="AR259" s="56" t="n">
        <f aca="false">MIN(AH259,MAX(0,N(Debts!$E$13)))</f>
        <v>0</v>
      </c>
      <c r="AS259" s="56" t="n">
        <f aca="false">MIN(AI259,MAX(0,N(Debts!$E$14)))</f>
        <v>0</v>
      </c>
    </row>
    <row r="260" customFormat="false" ht="15" hidden="false" customHeight="false" outlineLevel="0" collapsed="false">
      <c r="A260" s="53" t="n">
        <v>256</v>
      </c>
      <c r="B260" s="54" t="n">
        <f aca="false">EDATE('Start Here'!$B$8,255)</f>
        <v>54089</v>
      </c>
      <c r="C260" s="42" t="n">
        <f aca="false">SUM(F260:O260)</f>
        <v>0</v>
      </c>
      <c r="D260" s="42" t="n">
        <f aca="false">ROUND(SUM($Z260:$AI260)-SUM(P259:Y259),2)</f>
        <v>0</v>
      </c>
      <c r="E260" s="55" t="n">
        <f aca="false">SUM(P260:Y260)</f>
        <v>0</v>
      </c>
      <c r="F260" s="42" t="n">
        <f aca="false">AJ260+MIN(Z260-AJ260,MAX(0,'Start Here'!$B$10-SUM($AJ260:$AS260)-SUMPRODUCT(($Z$3:$AI$3&lt;Z$3)*($Z260:$AI260-$AJ260:$AS260))))</f>
        <v>0</v>
      </c>
      <c r="G260" s="42" t="n">
        <f aca="false">AK260+MIN(AA260-AK260,MAX(0,'Start Here'!$B$10-SUM($AJ260:$AS260)-SUMPRODUCT(($Z$3:$AI$3&lt;AA$3)*($Z260:$AI260-$AJ260:$AS260))))</f>
        <v>0</v>
      </c>
      <c r="H260" s="42" t="n">
        <f aca="false">AL260+MIN(AB260-AL260,MAX(0,'Start Here'!$B$10-SUM($AJ260:$AS260)-SUMPRODUCT(($Z$3:$AI$3&lt;AB$3)*($Z260:$AI260-$AJ260:$AS260))))</f>
        <v>0</v>
      </c>
      <c r="I260" s="42" t="n">
        <f aca="false">AM260+MIN(AC260-AM260,MAX(0,'Start Here'!$B$10-SUM($AJ260:$AS260)-SUMPRODUCT(($Z$3:$AI$3&lt;AC$3)*($Z260:$AI260-$AJ260:$AS260))))</f>
        <v>0</v>
      </c>
      <c r="J260" s="42" t="n">
        <f aca="false">AN260+MIN(AD260-AN260,MAX(0,'Start Here'!$B$10-SUM($AJ260:$AS260)-SUMPRODUCT(($Z$3:$AI$3&lt;AD$3)*($Z260:$AI260-$AJ260:$AS260))))</f>
        <v>0</v>
      </c>
      <c r="K260" s="42" t="n">
        <f aca="false">AO260+MIN(AE260-AO260,MAX(0,'Start Here'!$B$10-SUM($AJ260:$AS260)-SUMPRODUCT(($Z$3:$AI$3&lt;AE$3)*($Z260:$AI260-$AJ260:$AS260))))</f>
        <v>0</v>
      </c>
      <c r="L260" s="42" t="n">
        <f aca="false">AP260+MIN(AF260-AP260,MAX(0,'Start Here'!$B$10-SUM($AJ260:$AS260)-SUMPRODUCT(($Z$3:$AI$3&lt;AF$3)*($Z260:$AI260-$AJ260:$AS260))))</f>
        <v>0</v>
      </c>
      <c r="M260" s="42" t="n">
        <f aca="false">AQ260+MIN(AG260-AQ260,MAX(0,'Start Here'!$B$10-SUM($AJ260:$AS260)-SUMPRODUCT(($Z$3:$AI$3&lt;AG$3)*($Z260:$AI260-$AJ260:$AS260))))</f>
        <v>0</v>
      </c>
      <c r="N260" s="42" t="n">
        <f aca="false">AR260+MIN(AH260-AR260,MAX(0,'Start Here'!$B$10-SUM($AJ260:$AS260)-SUMPRODUCT(($Z$3:$AI$3&lt;AH$3)*($Z260:$AI260-$AJ260:$AS260))))</f>
        <v>0</v>
      </c>
      <c r="O260" s="42" t="n">
        <f aca="false">AS260+MIN(AI260-AS260,MAX(0,'Start Here'!$B$10-SUM($AJ260:$AS260)-SUMPRODUCT(($Z$3:$AI$3&lt;AI$3)*($Z260:$AI260-$AJ260:$AS260))))</f>
        <v>0</v>
      </c>
      <c r="P260" s="42" t="n">
        <f aca="false">ROUND(Z260-F260,2)</f>
        <v>0</v>
      </c>
      <c r="Q260" s="42" t="n">
        <f aca="false">ROUND(AA260-G260,2)</f>
        <v>0</v>
      </c>
      <c r="R260" s="42" t="n">
        <f aca="false">ROUND(AB260-H260,2)</f>
        <v>0</v>
      </c>
      <c r="S260" s="42" t="n">
        <f aca="false">ROUND(AC260-I260,2)</f>
        <v>0</v>
      </c>
      <c r="T260" s="42" t="n">
        <f aca="false">ROUND(AD260-J260,2)</f>
        <v>0</v>
      </c>
      <c r="U260" s="42" t="n">
        <f aca="false">ROUND(AE260-K260,2)</f>
        <v>0</v>
      </c>
      <c r="V260" s="42" t="n">
        <f aca="false">ROUND(AF260-L260,2)</f>
        <v>0</v>
      </c>
      <c r="W260" s="42" t="n">
        <f aca="false">ROUND(AG260-M260,2)</f>
        <v>0</v>
      </c>
      <c r="X260" s="42" t="n">
        <f aca="false">ROUND(AH260-N260,2)</f>
        <v>0</v>
      </c>
      <c r="Y260" s="42" t="n">
        <f aca="false">ROUND(AI260-O260,2)</f>
        <v>0</v>
      </c>
      <c r="Z260" s="56" t="n">
        <f aca="false">ROUND(P259*(1+N(Debts!$D$5)/12),2)</f>
        <v>0</v>
      </c>
      <c r="AA260" s="56" t="n">
        <f aca="false">ROUND(Q259*(1+N(Debts!$D$6)/12),2)</f>
        <v>0</v>
      </c>
      <c r="AB260" s="56" t="n">
        <f aca="false">ROUND(R259*(1+N(Debts!$D$7)/12),2)</f>
        <v>0</v>
      </c>
      <c r="AC260" s="56" t="n">
        <f aca="false">ROUND(S259*(1+N(Debts!$D$8)/12),2)</f>
        <v>0</v>
      </c>
      <c r="AD260" s="56" t="n">
        <f aca="false">ROUND(T259*(1+N(Debts!$D$9)/12),2)</f>
        <v>0</v>
      </c>
      <c r="AE260" s="56" t="n">
        <f aca="false">ROUND(U259*(1+N(Debts!$D$10)/12),2)</f>
        <v>0</v>
      </c>
      <c r="AF260" s="56" t="n">
        <f aca="false">ROUND(V259*(1+N(Debts!$D$11)/12),2)</f>
        <v>0</v>
      </c>
      <c r="AG260" s="56" t="n">
        <f aca="false">ROUND(W259*(1+N(Debts!$D$12)/12),2)</f>
        <v>0</v>
      </c>
      <c r="AH260" s="56" t="n">
        <f aca="false">ROUND(X259*(1+N(Debts!$D$13)/12),2)</f>
        <v>0</v>
      </c>
      <c r="AI260" s="56" t="n">
        <f aca="false">ROUND(Y259*(1+N(Debts!$D$14)/12),2)</f>
        <v>0</v>
      </c>
      <c r="AJ260" s="56" t="n">
        <f aca="false">MIN(Z260,MAX(0,N(Debts!$E$5)))</f>
        <v>0</v>
      </c>
      <c r="AK260" s="56" t="n">
        <f aca="false">MIN(AA260,MAX(0,N(Debts!$E$6)))</f>
        <v>0</v>
      </c>
      <c r="AL260" s="56" t="n">
        <f aca="false">MIN(AB260,MAX(0,N(Debts!$E$7)))</f>
        <v>0</v>
      </c>
      <c r="AM260" s="56" t="n">
        <f aca="false">MIN(AC260,MAX(0,N(Debts!$E$8)))</f>
        <v>0</v>
      </c>
      <c r="AN260" s="56" t="n">
        <f aca="false">MIN(AD260,MAX(0,N(Debts!$E$9)))</f>
        <v>0</v>
      </c>
      <c r="AO260" s="56" t="n">
        <f aca="false">MIN(AE260,MAX(0,N(Debts!$E$10)))</f>
        <v>0</v>
      </c>
      <c r="AP260" s="56" t="n">
        <f aca="false">MIN(AF260,MAX(0,N(Debts!$E$11)))</f>
        <v>0</v>
      </c>
      <c r="AQ260" s="56" t="n">
        <f aca="false">MIN(AG260,MAX(0,N(Debts!$E$12)))</f>
        <v>0</v>
      </c>
      <c r="AR260" s="56" t="n">
        <f aca="false">MIN(AH260,MAX(0,N(Debts!$E$13)))</f>
        <v>0</v>
      </c>
      <c r="AS260" s="56" t="n">
        <f aca="false">MIN(AI260,MAX(0,N(Debts!$E$14)))</f>
        <v>0</v>
      </c>
    </row>
    <row r="261" customFormat="false" ht="15" hidden="false" customHeight="false" outlineLevel="0" collapsed="false">
      <c r="A261" s="53" t="n">
        <v>257</v>
      </c>
      <c r="B261" s="54" t="n">
        <f aca="false">EDATE('Start Here'!$B$8,256)</f>
        <v>54118</v>
      </c>
      <c r="C261" s="42" t="n">
        <f aca="false">SUM(F261:O261)</f>
        <v>0</v>
      </c>
      <c r="D261" s="42" t="n">
        <f aca="false">ROUND(SUM($Z261:$AI261)-SUM(P260:Y260),2)</f>
        <v>0</v>
      </c>
      <c r="E261" s="55" t="n">
        <f aca="false">SUM(P261:Y261)</f>
        <v>0</v>
      </c>
      <c r="F261" s="42" t="n">
        <f aca="false">AJ261+MIN(Z261-AJ261,MAX(0,'Start Here'!$B$10-SUM($AJ261:$AS261)-SUMPRODUCT(($Z$3:$AI$3&lt;Z$3)*($Z261:$AI261-$AJ261:$AS261))))</f>
        <v>0</v>
      </c>
      <c r="G261" s="42" t="n">
        <f aca="false">AK261+MIN(AA261-AK261,MAX(0,'Start Here'!$B$10-SUM($AJ261:$AS261)-SUMPRODUCT(($Z$3:$AI$3&lt;AA$3)*($Z261:$AI261-$AJ261:$AS261))))</f>
        <v>0</v>
      </c>
      <c r="H261" s="42" t="n">
        <f aca="false">AL261+MIN(AB261-AL261,MAX(0,'Start Here'!$B$10-SUM($AJ261:$AS261)-SUMPRODUCT(($Z$3:$AI$3&lt;AB$3)*($Z261:$AI261-$AJ261:$AS261))))</f>
        <v>0</v>
      </c>
      <c r="I261" s="42" t="n">
        <f aca="false">AM261+MIN(AC261-AM261,MAX(0,'Start Here'!$B$10-SUM($AJ261:$AS261)-SUMPRODUCT(($Z$3:$AI$3&lt;AC$3)*($Z261:$AI261-$AJ261:$AS261))))</f>
        <v>0</v>
      </c>
      <c r="J261" s="42" t="n">
        <f aca="false">AN261+MIN(AD261-AN261,MAX(0,'Start Here'!$B$10-SUM($AJ261:$AS261)-SUMPRODUCT(($Z$3:$AI$3&lt;AD$3)*($Z261:$AI261-$AJ261:$AS261))))</f>
        <v>0</v>
      </c>
      <c r="K261" s="42" t="n">
        <f aca="false">AO261+MIN(AE261-AO261,MAX(0,'Start Here'!$B$10-SUM($AJ261:$AS261)-SUMPRODUCT(($Z$3:$AI$3&lt;AE$3)*($Z261:$AI261-$AJ261:$AS261))))</f>
        <v>0</v>
      </c>
      <c r="L261" s="42" t="n">
        <f aca="false">AP261+MIN(AF261-AP261,MAX(0,'Start Here'!$B$10-SUM($AJ261:$AS261)-SUMPRODUCT(($Z$3:$AI$3&lt;AF$3)*($Z261:$AI261-$AJ261:$AS261))))</f>
        <v>0</v>
      </c>
      <c r="M261" s="42" t="n">
        <f aca="false">AQ261+MIN(AG261-AQ261,MAX(0,'Start Here'!$B$10-SUM($AJ261:$AS261)-SUMPRODUCT(($Z$3:$AI$3&lt;AG$3)*($Z261:$AI261-$AJ261:$AS261))))</f>
        <v>0</v>
      </c>
      <c r="N261" s="42" t="n">
        <f aca="false">AR261+MIN(AH261-AR261,MAX(0,'Start Here'!$B$10-SUM($AJ261:$AS261)-SUMPRODUCT(($Z$3:$AI$3&lt;AH$3)*($Z261:$AI261-$AJ261:$AS261))))</f>
        <v>0</v>
      </c>
      <c r="O261" s="42" t="n">
        <f aca="false">AS261+MIN(AI261-AS261,MAX(0,'Start Here'!$B$10-SUM($AJ261:$AS261)-SUMPRODUCT(($Z$3:$AI$3&lt;AI$3)*($Z261:$AI261-$AJ261:$AS261))))</f>
        <v>0</v>
      </c>
      <c r="P261" s="42" t="n">
        <f aca="false">ROUND(Z261-F261,2)</f>
        <v>0</v>
      </c>
      <c r="Q261" s="42" t="n">
        <f aca="false">ROUND(AA261-G261,2)</f>
        <v>0</v>
      </c>
      <c r="R261" s="42" t="n">
        <f aca="false">ROUND(AB261-H261,2)</f>
        <v>0</v>
      </c>
      <c r="S261" s="42" t="n">
        <f aca="false">ROUND(AC261-I261,2)</f>
        <v>0</v>
      </c>
      <c r="T261" s="42" t="n">
        <f aca="false">ROUND(AD261-J261,2)</f>
        <v>0</v>
      </c>
      <c r="U261" s="42" t="n">
        <f aca="false">ROUND(AE261-K261,2)</f>
        <v>0</v>
      </c>
      <c r="V261" s="42" t="n">
        <f aca="false">ROUND(AF261-L261,2)</f>
        <v>0</v>
      </c>
      <c r="W261" s="42" t="n">
        <f aca="false">ROUND(AG261-M261,2)</f>
        <v>0</v>
      </c>
      <c r="X261" s="42" t="n">
        <f aca="false">ROUND(AH261-N261,2)</f>
        <v>0</v>
      </c>
      <c r="Y261" s="42" t="n">
        <f aca="false">ROUND(AI261-O261,2)</f>
        <v>0</v>
      </c>
      <c r="Z261" s="56" t="n">
        <f aca="false">ROUND(P260*(1+N(Debts!$D$5)/12),2)</f>
        <v>0</v>
      </c>
      <c r="AA261" s="56" t="n">
        <f aca="false">ROUND(Q260*(1+N(Debts!$D$6)/12),2)</f>
        <v>0</v>
      </c>
      <c r="AB261" s="56" t="n">
        <f aca="false">ROUND(R260*(1+N(Debts!$D$7)/12),2)</f>
        <v>0</v>
      </c>
      <c r="AC261" s="56" t="n">
        <f aca="false">ROUND(S260*(1+N(Debts!$D$8)/12),2)</f>
        <v>0</v>
      </c>
      <c r="AD261" s="56" t="n">
        <f aca="false">ROUND(T260*(1+N(Debts!$D$9)/12),2)</f>
        <v>0</v>
      </c>
      <c r="AE261" s="56" t="n">
        <f aca="false">ROUND(U260*(1+N(Debts!$D$10)/12),2)</f>
        <v>0</v>
      </c>
      <c r="AF261" s="56" t="n">
        <f aca="false">ROUND(V260*(1+N(Debts!$D$11)/12),2)</f>
        <v>0</v>
      </c>
      <c r="AG261" s="56" t="n">
        <f aca="false">ROUND(W260*(1+N(Debts!$D$12)/12),2)</f>
        <v>0</v>
      </c>
      <c r="AH261" s="56" t="n">
        <f aca="false">ROUND(X260*(1+N(Debts!$D$13)/12),2)</f>
        <v>0</v>
      </c>
      <c r="AI261" s="56" t="n">
        <f aca="false">ROUND(Y260*(1+N(Debts!$D$14)/12),2)</f>
        <v>0</v>
      </c>
      <c r="AJ261" s="56" t="n">
        <f aca="false">MIN(Z261,MAX(0,N(Debts!$E$5)))</f>
        <v>0</v>
      </c>
      <c r="AK261" s="56" t="n">
        <f aca="false">MIN(AA261,MAX(0,N(Debts!$E$6)))</f>
        <v>0</v>
      </c>
      <c r="AL261" s="56" t="n">
        <f aca="false">MIN(AB261,MAX(0,N(Debts!$E$7)))</f>
        <v>0</v>
      </c>
      <c r="AM261" s="56" t="n">
        <f aca="false">MIN(AC261,MAX(0,N(Debts!$E$8)))</f>
        <v>0</v>
      </c>
      <c r="AN261" s="56" t="n">
        <f aca="false">MIN(AD261,MAX(0,N(Debts!$E$9)))</f>
        <v>0</v>
      </c>
      <c r="AO261" s="56" t="n">
        <f aca="false">MIN(AE261,MAX(0,N(Debts!$E$10)))</f>
        <v>0</v>
      </c>
      <c r="AP261" s="56" t="n">
        <f aca="false">MIN(AF261,MAX(0,N(Debts!$E$11)))</f>
        <v>0</v>
      </c>
      <c r="AQ261" s="56" t="n">
        <f aca="false">MIN(AG261,MAX(0,N(Debts!$E$12)))</f>
        <v>0</v>
      </c>
      <c r="AR261" s="56" t="n">
        <f aca="false">MIN(AH261,MAX(0,N(Debts!$E$13)))</f>
        <v>0</v>
      </c>
      <c r="AS261" s="56" t="n">
        <f aca="false">MIN(AI261,MAX(0,N(Debts!$E$14)))</f>
        <v>0</v>
      </c>
    </row>
    <row r="262" customFormat="false" ht="15" hidden="false" customHeight="false" outlineLevel="0" collapsed="false">
      <c r="A262" s="53" t="n">
        <v>258</v>
      </c>
      <c r="B262" s="54" t="n">
        <f aca="false">EDATE('Start Here'!$B$8,257)</f>
        <v>54149</v>
      </c>
      <c r="C262" s="42" t="n">
        <f aca="false">SUM(F262:O262)</f>
        <v>0</v>
      </c>
      <c r="D262" s="42" t="n">
        <f aca="false">ROUND(SUM($Z262:$AI262)-SUM(P261:Y261),2)</f>
        <v>0</v>
      </c>
      <c r="E262" s="55" t="n">
        <f aca="false">SUM(P262:Y262)</f>
        <v>0</v>
      </c>
      <c r="F262" s="42" t="n">
        <f aca="false">AJ262+MIN(Z262-AJ262,MAX(0,'Start Here'!$B$10-SUM($AJ262:$AS262)-SUMPRODUCT(($Z$3:$AI$3&lt;Z$3)*($Z262:$AI262-$AJ262:$AS262))))</f>
        <v>0</v>
      </c>
      <c r="G262" s="42" t="n">
        <f aca="false">AK262+MIN(AA262-AK262,MAX(0,'Start Here'!$B$10-SUM($AJ262:$AS262)-SUMPRODUCT(($Z$3:$AI$3&lt;AA$3)*($Z262:$AI262-$AJ262:$AS262))))</f>
        <v>0</v>
      </c>
      <c r="H262" s="42" t="n">
        <f aca="false">AL262+MIN(AB262-AL262,MAX(0,'Start Here'!$B$10-SUM($AJ262:$AS262)-SUMPRODUCT(($Z$3:$AI$3&lt;AB$3)*($Z262:$AI262-$AJ262:$AS262))))</f>
        <v>0</v>
      </c>
      <c r="I262" s="42" t="n">
        <f aca="false">AM262+MIN(AC262-AM262,MAX(0,'Start Here'!$B$10-SUM($AJ262:$AS262)-SUMPRODUCT(($Z$3:$AI$3&lt;AC$3)*($Z262:$AI262-$AJ262:$AS262))))</f>
        <v>0</v>
      </c>
      <c r="J262" s="42" t="n">
        <f aca="false">AN262+MIN(AD262-AN262,MAX(0,'Start Here'!$B$10-SUM($AJ262:$AS262)-SUMPRODUCT(($Z$3:$AI$3&lt;AD$3)*($Z262:$AI262-$AJ262:$AS262))))</f>
        <v>0</v>
      </c>
      <c r="K262" s="42" t="n">
        <f aca="false">AO262+MIN(AE262-AO262,MAX(0,'Start Here'!$B$10-SUM($AJ262:$AS262)-SUMPRODUCT(($Z$3:$AI$3&lt;AE$3)*($Z262:$AI262-$AJ262:$AS262))))</f>
        <v>0</v>
      </c>
      <c r="L262" s="42" t="n">
        <f aca="false">AP262+MIN(AF262-AP262,MAX(0,'Start Here'!$B$10-SUM($AJ262:$AS262)-SUMPRODUCT(($Z$3:$AI$3&lt;AF$3)*($Z262:$AI262-$AJ262:$AS262))))</f>
        <v>0</v>
      </c>
      <c r="M262" s="42" t="n">
        <f aca="false">AQ262+MIN(AG262-AQ262,MAX(0,'Start Here'!$B$10-SUM($AJ262:$AS262)-SUMPRODUCT(($Z$3:$AI$3&lt;AG$3)*($Z262:$AI262-$AJ262:$AS262))))</f>
        <v>0</v>
      </c>
      <c r="N262" s="42" t="n">
        <f aca="false">AR262+MIN(AH262-AR262,MAX(0,'Start Here'!$B$10-SUM($AJ262:$AS262)-SUMPRODUCT(($Z$3:$AI$3&lt;AH$3)*($Z262:$AI262-$AJ262:$AS262))))</f>
        <v>0</v>
      </c>
      <c r="O262" s="42" t="n">
        <f aca="false">AS262+MIN(AI262-AS262,MAX(0,'Start Here'!$B$10-SUM($AJ262:$AS262)-SUMPRODUCT(($Z$3:$AI$3&lt;AI$3)*($Z262:$AI262-$AJ262:$AS262))))</f>
        <v>0</v>
      </c>
      <c r="P262" s="42" t="n">
        <f aca="false">ROUND(Z262-F262,2)</f>
        <v>0</v>
      </c>
      <c r="Q262" s="42" t="n">
        <f aca="false">ROUND(AA262-G262,2)</f>
        <v>0</v>
      </c>
      <c r="R262" s="42" t="n">
        <f aca="false">ROUND(AB262-H262,2)</f>
        <v>0</v>
      </c>
      <c r="S262" s="42" t="n">
        <f aca="false">ROUND(AC262-I262,2)</f>
        <v>0</v>
      </c>
      <c r="T262" s="42" t="n">
        <f aca="false">ROUND(AD262-J262,2)</f>
        <v>0</v>
      </c>
      <c r="U262" s="42" t="n">
        <f aca="false">ROUND(AE262-K262,2)</f>
        <v>0</v>
      </c>
      <c r="V262" s="42" t="n">
        <f aca="false">ROUND(AF262-L262,2)</f>
        <v>0</v>
      </c>
      <c r="W262" s="42" t="n">
        <f aca="false">ROUND(AG262-M262,2)</f>
        <v>0</v>
      </c>
      <c r="X262" s="42" t="n">
        <f aca="false">ROUND(AH262-N262,2)</f>
        <v>0</v>
      </c>
      <c r="Y262" s="42" t="n">
        <f aca="false">ROUND(AI262-O262,2)</f>
        <v>0</v>
      </c>
      <c r="Z262" s="56" t="n">
        <f aca="false">ROUND(P261*(1+N(Debts!$D$5)/12),2)</f>
        <v>0</v>
      </c>
      <c r="AA262" s="56" t="n">
        <f aca="false">ROUND(Q261*(1+N(Debts!$D$6)/12),2)</f>
        <v>0</v>
      </c>
      <c r="AB262" s="56" t="n">
        <f aca="false">ROUND(R261*(1+N(Debts!$D$7)/12),2)</f>
        <v>0</v>
      </c>
      <c r="AC262" s="56" t="n">
        <f aca="false">ROUND(S261*(1+N(Debts!$D$8)/12),2)</f>
        <v>0</v>
      </c>
      <c r="AD262" s="56" t="n">
        <f aca="false">ROUND(T261*(1+N(Debts!$D$9)/12),2)</f>
        <v>0</v>
      </c>
      <c r="AE262" s="56" t="n">
        <f aca="false">ROUND(U261*(1+N(Debts!$D$10)/12),2)</f>
        <v>0</v>
      </c>
      <c r="AF262" s="56" t="n">
        <f aca="false">ROUND(V261*(1+N(Debts!$D$11)/12),2)</f>
        <v>0</v>
      </c>
      <c r="AG262" s="56" t="n">
        <f aca="false">ROUND(W261*(1+N(Debts!$D$12)/12),2)</f>
        <v>0</v>
      </c>
      <c r="AH262" s="56" t="n">
        <f aca="false">ROUND(X261*(1+N(Debts!$D$13)/12),2)</f>
        <v>0</v>
      </c>
      <c r="AI262" s="56" t="n">
        <f aca="false">ROUND(Y261*(1+N(Debts!$D$14)/12),2)</f>
        <v>0</v>
      </c>
      <c r="AJ262" s="56" t="n">
        <f aca="false">MIN(Z262,MAX(0,N(Debts!$E$5)))</f>
        <v>0</v>
      </c>
      <c r="AK262" s="56" t="n">
        <f aca="false">MIN(AA262,MAX(0,N(Debts!$E$6)))</f>
        <v>0</v>
      </c>
      <c r="AL262" s="56" t="n">
        <f aca="false">MIN(AB262,MAX(0,N(Debts!$E$7)))</f>
        <v>0</v>
      </c>
      <c r="AM262" s="56" t="n">
        <f aca="false">MIN(AC262,MAX(0,N(Debts!$E$8)))</f>
        <v>0</v>
      </c>
      <c r="AN262" s="56" t="n">
        <f aca="false">MIN(AD262,MAX(0,N(Debts!$E$9)))</f>
        <v>0</v>
      </c>
      <c r="AO262" s="56" t="n">
        <f aca="false">MIN(AE262,MAX(0,N(Debts!$E$10)))</f>
        <v>0</v>
      </c>
      <c r="AP262" s="56" t="n">
        <f aca="false">MIN(AF262,MAX(0,N(Debts!$E$11)))</f>
        <v>0</v>
      </c>
      <c r="AQ262" s="56" t="n">
        <f aca="false">MIN(AG262,MAX(0,N(Debts!$E$12)))</f>
        <v>0</v>
      </c>
      <c r="AR262" s="56" t="n">
        <f aca="false">MIN(AH262,MAX(0,N(Debts!$E$13)))</f>
        <v>0</v>
      </c>
      <c r="AS262" s="56" t="n">
        <f aca="false">MIN(AI262,MAX(0,N(Debts!$E$14)))</f>
        <v>0</v>
      </c>
    </row>
    <row r="263" customFormat="false" ht="15" hidden="false" customHeight="false" outlineLevel="0" collapsed="false">
      <c r="A263" s="53" t="n">
        <v>259</v>
      </c>
      <c r="B263" s="54" t="n">
        <f aca="false">EDATE('Start Here'!$B$8,258)</f>
        <v>54179</v>
      </c>
      <c r="C263" s="42" t="n">
        <f aca="false">SUM(F263:O263)</f>
        <v>0</v>
      </c>
      <c r="D263" s="42" t="n">
        <f aca="false">ROUND(SUM($Z263:$AI263)-SUM(P262:Y262),2)</f>
        <v>0</v>
      </c>
      <c r="E263" s="55" t="n">
        <f aca="false">SUM(P263:Y263)</f>
        <v>0</v>
      </c>
      <c r="F263" s="42" t="n">
        <f aca="false">AJ263+MIN(Z263-AJ263,MAX(0,'Start Here'!$B$10-SUM($AJ263:$AS263)-SUMPRODUCT(($Z$3:$AI$3&lt;Z$3)*($Z263:$AI263-$AJ263:$AS263))))</f>
        <v>0</v>
      </c>
      <c r="G263" s="42" t="n">
        <f aca="false">AK263+MIN(AA263-AK263,MAX(0,'Start Here'!$B$10-SUM($AJ263:$AS263)-SUMPRODUCT(($Z$3:$AI$3&lt;AA$3)*($Z263:$AI263-$AJ263:$AS263))))</f>
        <v>0</v>
      </c>
      <c r="H263" s="42" t="n">
        <f aca="false">AL263+MIN(AB263-AL263,MAX(0,'Start Here'!$B$10-SUM($AJ263:$AS263)-SUMPRODUCT(($Z$3:$AI$3&lt;AB$3)*($Z263:$AI263-$AJ263:$AS263))))</f>
        <v>0</v>
      </c>
      <c r="I263" s="42" t="n">
        <f aca="false">AM263+MIN(AC263-AM263,MAX(0,'Start Here'!$B$10-SUM($AJ263:$AS263)-SUMPRODUCT(($Z$3:$AI$3&lt;AC$3)*($Z263:$AI263-$AJ263:$AS263))))</f>
        <v>0</v>
      </c>
      <c r="J263" s="42" t="n">
        <f aca="false">AN263+MIN(AD263-AN263,MAX(0,'Start Here'!$B$10-SUM($AJ263:$AS263)-SUMPRODUCT(($Z$3:$AI$3&lt;AD$3)*($Z263:$AI263-$AJ263:$AS263))))</f>
        <v>0</v>
      </c>
      <c r="K263" s="42" t="n">
        <f aca="false">AO263+MIN(AE263-AO263,MAX(0,'Start Here'!$B$10-SUM($AJ263:$AS263)-SUMPRODUCT(($Z$3:$AI$3&lt;AE$3)*($Z263:$AI263-$AJ263:$AS263))))</f>
        <v>0</v>
      </c>
      <c r="L263" s="42" t="n">
        <f aca="false">AP263+MIN(AF263-AP263,MAX(0,'Start Here'!$B$10-SUM($AJ263:$AS263)-SUMPRODUCT(($Z$3:$AI$3&lt;AF$3)*($Z263:$AI263-$AJ263:$AS263))))</f>
        <v>0</v>
      </c>
      <c r="M263" s="42" t="n">
        <f aca="false">AQ263+MIN(AG263-AQ263,MAX(0,'Start Here'!$B$10-SUM($AJ263:$AS263)-SUMPRODUCT(($Z$3:$AI$3&lt;AG$3)*($Z263:$AI263-$AJ263:$AS263))))</f>
        <v>0</v>
      </c>
      <c r="N263" s="42" t="n">
        <f aca="false">AR263+MIN(AH263-AR263,MAX(0,'Start Here'!$B$10-SUM($AJ263:$AS263)-SUMPRODUCT(($Z$3:$AI$3&lt;AH$3)*($Z263:$AI263-$AJ263:$AS263))))</f>
        <v>0</v>
      </c>
      <c r="O263" s="42" t="n">
        <f aca="false">AS263+MIN(AI263-AS263,MAX(0,'Start Here'!$B$10-SUM($AJ263:$AS263)-SUMPRODUCT(($Z$3:$AI$3&lt;AI$3)*($Z263:$AI263-$AJ263:$AS263))))</f>
        <v>0</v>
      </c>
      <c r="P263" s="42" t="n">
        <f aca="false">ROUND(Z263-F263,2)</f>
        <v>0</v>
      </c>
      <c r="Q263" s="42" t="n">
        <f aca="false">ROUND(AA263-G263,2)</f>
        <v>0</v>
      </c>
      <c r="R263" s="42" t="n">
        <f aca="false">ROUND(AB263-H263,2)</f>
        <v>0</v>
      </c>
      <c r="S263" s="42" t="n">
        <f aca="false">ROUND(AC263-I263,2)</f>
        <v>0</v>
      </c>
      <c r="T263" s="42" t="n">
        <f aca="false">ROUND(AD263-J263,2)</f>
        <v>0</v>
      </c>
      <c r="U263" s="42" t="n">
        <f aca="false">ROUND(AE263-K263,2)</f>
        <v>0</v>
      </c>
      <c r="V263" s="42" t="n">
        <f aca="false">ROUND(AF263-L263,2)</f>
        <v>0</v>
      </c>
      <c r="W263" s="42" t="n">
        <f aca="false">ROUND(AG263-M263,2)</f>
        <v>0</v>
      </c>
      <c r="X263" s="42" t="n">
        <f aca="false">ROUND(AH263-N263,2)</f>
        <v>0</v>
      </c>
      <c r="Y263" s="42" t="n">
        <f aca="false">ROUND(AI263-O263,2)</f>
        <v>0</v>
      </c>
      <c r="Z263" s="56" t="n">
        <f aca="false">ROUND(P262*(1+N(Debts!$D$5)/12),2)</f>
        <v>0</v>
      </c>
      <c r="AA263" s="56" t="n">
        <f aca="false">ROUND(Q262*(1+N(Debts!$D$6)/12),2)</f>
        <v>0</v>
      </c>
      <c r="AB263" s="56" t="n">
        <f aca="false">ROUND(R262*(1+N(Debts!$D$7)/12),2)</f>
        <v>0</v>
      </c>
      <c r="AC263" s="56" t="n">
        <f aca="false">ROUND(S262*(1+N(Debts!$D$8)/12),2)</f>
        <v>0</v>
      </c>
      <c r="AD263" s="56" t="n">
        <f aca="false">ROUND(T262*(1+N(Debts!$D$9)/12),2)</f>
        <v>0</v>
      </c>
      <c r="AE263" s="56" t="n">
        <f aca="false">ROUND(U262*(1+N(Debts!$D$10)/12),2)</f>
        <v>0</v>
      </c>
      <c r="AF263" s="56" t="n">
        <f aca="false">ROUND(V262*(1+N(Debts!$D$11)/12),2)</f>
        <v>0</v>
      </c>
      <c r="AG263" s="56" t="n">
        <f aca="false">ROUND(W262*(1+N(Debts!$D$12)/12),2)</f>
        <v>0</v>
      </c>
      <c r="AH263" s="56" t="n">
        <f aca="false">ROUND(X262*(1+N(Debts!$D$13)/12),2)</f>
        <v>0</v>
      </c>
      <c r="AI263" s="56" t="n">
        <f aca="false">ROUND(Y262*(1+N(Debts!$D$14)/12),2)</f>
        <v>0</v>
      </c>
      <c r="AJ263" s="56" t="n">
        <f aca="false">MIN(Z263,MAX(0,N(Debts!$E$5)))</f>
        <v>0</v>
      </c>
      <c r="AK263" s="56" t="n">
        <f aca="false">MIN(AA263,MAX(0,N(Debts!$E$6)))</f>
        <v>0</v>
      </c>
      <c r="AL263" s="56" t="n">
        <f aca="false">MIN(AB263,MAX(0,N(Debts!$E$7)))</f>
        <v>0</v>
      </c>
      <c r="AM263" s="56" t="n">
        <f aca="false">MIN(AC263,MAX(0,N(Debts!$E$8)))</f>
        <v>0</v>
      </c>
      <c r="AN263" s="56" t="n">
        <f aca="false">MIN(AD263,MAX(0,N(Debts!$E$9)))</f>
        <v>0</v>
      </c>
      <c r="AO263" s="56" t="n">
        <f aca="false">MIN(AE263,MAX(0,N(Debts!$E$10)))</f>
        <v>0</v>
      </c>
      <c r="AP263" s="56" t="n">
        <f aca="false">MIN(AF263,MAX(0,N(Debts!$E$11)))</f>
        <v>0</v>
      </c>
      <c r="AQ263" s="56" t="n">
        <f aca="false">MIN(AG263,MAX(0,N(Debts!$E$12)))</f>
        <v>0</v>
      </c>
      <c r="AR263" s="56" t="n">
        <f aca="false">MIN(AH263,MAX(0,N(Debts!$E$13)))</f>
        <v>0</v>
      </c>
      <c r="AS263" s="56" t="n">
        <f aca="false">MIN(AI263,MAX(0,N(Debts!$E$14)))</f>
        <v>0</v>
      </c>
    </row>
    <row r="264" customFormat="false" ht="15" hidden="false" customHeight="false" outlineLevel="0" collapsed="false">
      <c r="A264" s="53" t="n">
        <v>260</v>
      </c>
      <c r="B264" s="54" t="n">
        <f aca="false">EDATE('Start Here'!$B$8,259)</f>
        <v>54210</v>
      </c>
      <c r="C264" s="42" t="n">
        <f aca="false">SUM(F264:O264)</f>
        <v>0</v>
      </c>
      <c r="D264" s="42" t="n">
        <f aca="false">ROUND(SUM($Z264:$AI264)-SUM(P263:Y263),2)</f>
        <v>0</v>
      </c>
      <c r="E264" s="55" t="n">
        <f aca="false">SUM(P264:Y264)</f>
        <v>0</v>
      </c>
      <c r="F264" s="42" t="n">
        <f aca="false">AJ264+MIN(Z264-AJ264,MAX(0,'Start Here'!$B$10-SUM($AJ264:$AS264)-SUMPRODUCT(($Z$3:$AI$3&lt;Z$3)*($Z264:$AI264-$AJ264:$AS264))))</f>
        <v>0</v>
      </c>
      <c r="G264" s="42" t="n">
        <f aca="false">AK264+MIN(AA264-AK264,MAX(0,'Start Here'!$B$10-SUM($AJ264:$AS264)-SUMPRODUCT(($Z$3:$AI$3&lt;AA$3)*($Z264:$AI264-$AJ264:$AS264))))</f>
        <v>0</v>
      </c>
      <c r="H264" s="42" t="n">
        <f aca="false">AL264+MIN(AB264-AL264,MAX(0,'Start Here'!$B$10-SUM($AJ264:$AS264)-SUMPRODUCT(($Z$3:$AI$3&lt;AB$3)*($Z264:$AI264-$AJ264:$AS264))))</f>
        <v>0</v>
      </c>
      <c r="I264" s="42" t="n">
        <f aca="false">AM264+MIN(AC264-AM264,MAX(0,'Start Here'!$B$10-SUM($AJ264:$AS264)-SUMPRODUCT(($Z$3:$AI$3&lt;AC$3)*($Z264:$AI264-$AJ264:$AS264))))</f>
        <v>0</v>
      </c>
      <c r="J264" s="42" t="n">
        <f aca="false">AN264+MIN(AD264-AN264,MAX(0,'Start Here'!$B$10-SUM($AJ264:$AS264)-SUMPRODUCT(($Z$3:$AI$3&lt;AD$3)*($Z264:$AI264-$AJ264:$AS264))))</f>
        <v>0</v>
      </c>
      <c r="K264" s="42" t="n">
        <f aca="false">AO264+MIN(AE264-AO264,MAX(0,'Start Here'!$B$10-SUM($AJ264:$AS264)-SUMPRODUCT(($Z$3:$AI$3&lt;AE$3)*($Z264:$AI264-$AJ264:$AS264))))</f>
        <v>0</v>
      </c>
      <c r="L264" s="42" t="n">
        <f aca="false">AP264+MIN(AF264-AP264,MAX(0,'Start Here'!$B$10-SUM($AJ264:$AS264)-SUMPRODUCT(($Z$3:$AI$3&lt;AF$3)*($Z264:$AI264-$AJ264:$AS264))))</f>
        <v>0</v>
      </c>
      <c r="M264" s="42" t="n">
        <f aca="false">AQ264+MIN(AG264-AQ264,MAX(0,'Start Here'!$B$10-SUM($AJ264:$AS264)-SUMPRODUCT(($Z$3:$AI$3&lt;AG$3)*($Z264:$AI264-$AJ264:$AS264))))</f>
        <v>0</v>
      </c>
      <c r="N264" s="42" t="n">
        <f aca="false">AR264+MIN(AH264-AR264,MAX(0,'Start Here'!$B$10-SUM($AJ264:$AS264)-SUMPRODUCT(($Z$3:$AI$3&lt;AH$3)*($Z264:$AI264-$AJ264:$AS264))))</f>
        <v>0</v>
      </c>
      <c r="O264" s="42" t="n">
        <f aca="false">AS264+MIN(AI264-AS264,MAX(0,'Start Here'!$B$10-SUM($AJ264:$AS264)-SUMPRODUCT(($Z$3:$AI$3&lt;AI$3)*($Z264:$AI264-$AJ264:$AS264))))</f>
        <v>0</v>
      </c>
      <c r="P264" s="42" t="n">
        <f aca="false">ROUND(Z264-F264,2)</f>
        <v>0</v>
      </c>
      <c r="Q264" s="42" t="n">
        <f aca="false">ROUND(AA264-G264,2)</f>
        <v>0</v>
      </c>
      <c r="R264" s="42" t="n">
        <f aca="false">ROUND(AB264-H264,2)</f>
        <v>0</v>
      </c>
      <c r="S264" s="42" t="n">
        <f aca="false">ROUND(AC264-I264,2)</f>
        <v>0</v>
      </c>
      <c r="T264" s="42" t="n">
        <f aca="false">ROUND(AD264-J264,2)</f>
        <v>0</v>
      </c>
      <c r="U264" s="42" t="n">
        <f aca="false">ROUND(AE264-K264,2)</f>
        <v>0</v>
      </c>
      <c r="V264" s="42" t="n">
        <f aca="false">ROUND(AF264-L264,2)</f>
        <v>0</v>
      </c>
      <c r="W264" s="42" t="n">
        <f aca="false">ROUND(AG264-M264,2)</f>
        <v>0</v>
      </c>
      <c r="X264" s="42" t="n">
        <f aca="false">ROUND(AH264-N264,2)</f>
        <v>0</v>
      </c>
      <c r="Y264" s="42" t="n">
        <f aca="false">ROUND(AI264-O264,2)</f>
        <v>0</v>
      </c>
      <c r="Z264" s="56" t="n">
        <f aca="false">ROUND(P263*(1+N(Debts!$D$5)/12),2)</f>
        <v>0</v>
      </c>
      <c r="AA264" s="56" t="n">
        <f aca="false">ROUND(Q263*(1+N(Debts!$D$6)/12),2)</f>
        <v>0</v>
      </c>
      <c r="AB264" s="56" t="n">
        <f aca="false">ROUND(R263*(1+N(Debts!$D$7)/12),2)</f>
        <v>0</v>
      </c>
      <c r="AC264" s="56" t="n">
        <f aca="false">ROUND(S263*(1+N(Debts!$D$8)/12),2)</f>
        <v>0</v>
      </c>
      <c r="AD264" s="56" t="n">
        <f aca="false">ROUND(T263*(1+N(Debts!$D$9)/12),2)</f>
        <v>0</v>
      </c>
      <c r="AE264" s="56" t="n">
        <f aca="false">ROUND(U263*(1+N(Debts!$D$10)/12),2)</f>
        <v>0</v>
      </c>
      <c r="AF264" s="56" t="n">
        <f aca="false">ROUND(V263*(1+N(Debts!$D$11)/12),2)</f>
        <v>0</v>
      </c>
      <c r="AG264" s="56" t="n">
        <f aca="false">ROUND(W263*(1+N(Debts!$D$12)/12),2)</f>
        <v>0</v>
      </c>
      <c r="AH264" s="56" t="n">
        <f aca="false">ROUND(X263*(1+N(Debts!$D$13)/12),2)</f>
        <v>0</v>
      </c>
      <c r="AI264" s="56" t="n">
        <f aca="false">ROUND(Y263*(1+N(Debts!$D$14)/12),2)</f>
        <v>0</v>
      </c>
      <c r="AJ264" s="56" t="n">
        <f aca="false">MIN(Z264,MAX(0,N(Debts!$E$5)))</f>
        <v>0</v>
      </c>
      <c r="AK264" s="56" t="n">
        <f aca="false">MIN(AA264,MAX(0,N(Debts!$E$6)))</f>
        <v>0</v>
      </c>
      <c r="AL264" s="56" t="n">
        <f aca="false">MIN(AB264,MAX(0,N(Debts!$E$7)))</f>
        <v>0</v>
      </c>
      <c r="AM264" s="56" t="n">
        <f aca="false">MIN(AC264,MAX(0,N(Debts!$E$8)))</f>
        <v>0</v>
      </c>
      <c r="AN264" s="56" t="n">
        <f aca="false">MIN(AD264,MAX(0,N(Debts!$E$9)))</f>
        <v>0</v>
      </c>
      <c r="AO264" s="56" t="n">
        <f aca="false">MIN(AE264,MAX(0,N(Debts!$E$10)))</f>
        <v>0</v>
      </c>
      <c r="AP264" s="56" t="n">
        <f aca="false">MIN(AF264,MAX(0,N(Debts!$E$11)))</f>
        <v>0</v>
      </c>
      <c r="AQ264" s="56" t="n">
        <f aca="false">MIN(AG264,MAX(0,N(Debts!$E$12)))</f>
        <v>0</v>
      </c>
      <c r="AR264" s="56" t="n">
        <f aca="false">MIN(AH264,MAX(0,N(Debts!$E$13)))</f>
        <v>0</v>
      </c>
      <c r="AS264" s="56" t="n">
        <f aca="false">MIN(AI264,MAX(0,N(Debts!$E$14)))</f>
        <v>0</v>
      </c>
    </row>
    <row r="265" customFormat="false" ht="15" hidden="false" customHeight="false" outlineLevel="0" collapsed="false">
      <c r="A265" s="53" t="n">
        <v>261</v>
      </c>
      <c r="B265" s="54" t="n">
        <f aca="false">EDATE('Start Here'!$B$8,260)</f>
        <v>54240</v>
      </c>
      <c r="C265" s="42" t="n">
        <f aca="false">SUM(F265:O265)</f>
        <v>0</v>
      </c>
      <c r="D265" s="42" t="n">
        <f aca="false">ROUND(SUM($Z265:$AI265)-SUM(P264:Y264),2)</f>
        <v>0</v>
      </c>
      <c r="E265" s="55" t="n">
        <f aca="false">SUM(P265:Y265)</f>
        <v>0</v>
      </c>
      <c r="F265" s="42" t="n">
        <f aca="false">AJ265+MIN(Z265-AJ265,MAX(0,'Start Here'!$B$10-SUM($AJ265:$AS265)-SUMPRODUCT(($Z$3:$AI$3&lt;Z$3)*($Z265:$AI265-$AJ265:$AS265))))</f>
        <v>0</v>
      </c>
      <c r="G265" s="42" t="n">
        <f aca="false">AK265+MIN(AA265-AK265,MAX(0,'Start Here'!$B$10-SUM($AJ265:$AS265)-SUMPRODUCT(($Z$3:$AI$3&lt;AA$3)*($Z265:$AI265-$AJ265:$AS265))))</f>
        <v>0</v>
      </c>
      <c r="H265" s="42" t="n">
        <f aca="false">AL265+MIN(AB265-AL265,MAX(0,'Start Here'!$B$10-SUM($AJ265:$AS265)-SUMPRODUCT(($Z$3:$AI$3&lt;AB$3)*($Z265:$AI265-$AJ265:$AS265))))</f>
        <v>0</v>
      </c>
      <c r="I265" s="42" t="n">
        <f aca="false">AM265+MIN(AC265-AM265,MAX(0,'Start Here'!$B$10-SUM($AJ265:$AS265)-SUMPRODUCT(($Z$3:$AI$3&lt;AC$3)*($Z265:$AI265-$AJ265:$AS265))))</f>
        <v>0</v>
      </c>
      <c r="J265" s="42" t="n">
        <f aca="false">AN265+MIN(AD265-AN265,MAX(0,'Start Here'!$B$10-SUM($AJ265:$AS265)-SUMPRODUCT(($Z$3:$AI$3&lt;AD$3)*($Z265:$AI265-$AJ265:$AS265))))</f>
        <v>0</v>
      </c>
      <c r="K265" s="42" t="n">
        <f aca="false">AO265+MIN(AE265-AO265,MAX(0,'Start Here'!$B$10-SUM($AJ265:$AS265)-SUMPRODUCT(($Z$3:$AI$3&lt;AE$3)*($Z265:$AI265-$AJ265:$AS265))))</f>
        <v>0</v>
      </c>
      <c r="L265" s="42" t="n">
        <f aca="false">AP265+MIN(AF265-AP265,MAX(0,'Start Here'!$B$10-SUM($AJ265:$AS265)-SUMPRODUCT(($Z$3:$AI$3&lt;AF$3)*($Z265:$AI265-$AJ265:$AS265))))</f>
        <v>0</v>
      </c>
      <c r="M265" s="42" t="n">
        <f aca="false">AQ265+MIN(AG265-AQ265,MAX(0,'Start Here'!$B$10-SUM($AJ265:$AS265)-SUMPRODUCT(($Z$3:$AI$3&lt;AG$3)*($Z265:$AI265-$AJ265:$AS265))))</f>
        <v>0</v>
      </c>
      <c r="N265" s="42" t="n">
        <f aca="false">AR265+MIN(AH265-AR265,MAX(0,'Start Here'!$B$10-SUM($AJ265:$AS265)-SUMPRODUCT(($Z$3:$AI$3&lt;AH$3)*($Z265:$AI265-$AJ265:$AS265))))</f>
        <v>0</v>
      </c>
      <c r="O265" s="42" t="n">
        <f aca="false">AS265+MIN(AI265-AS265,MAX(0,'Start Here'!$B$10-SUM($AJ265:$AS265)-SUMPRODUCT(($Z$3:$AI$3&lt;AI$3)*($Z265:$AI265-$AJ265:$AS265))))</f>
        <v>0</v>
      </c>
      <c r="P265" s="42" t="n">
        <f aca="false">ROUND(Z265-F265,2)</f>
        <v>0</v>
      </c>
      <c r="Q265" s="42" t="n">
        <f aca="false">ROUND(AA265-G265,2)</f>
        <v>0</v>
      </c>
      <c r="R265" s="42" t="n">
        <f aca="false">ROUND(AB265-H265,2)</f>
        <v>0</v>
      </c>
      <c r="S265" s="42" t="n">
        <f aca="false">ROUND(AC265-I265,2)</f>
        <v>0</v>
      </c>
      <c r="T265" s="42" t="n">
        <f aca="false">ROUND(AD265-J265,2)</f>
        <v>0</v>
      </c>
      <c r="U265" s="42" t="n">
        <f aca="false">ROUND(AE265-K265,2)</f>
        <v>0</v>
      </c>
      <c r="V265" s="42" t="n">
        <f aca="false">ROUND(AF265-L265,2)</f>
        <v>0</v>
      </c>
      <c r="W265" s="42" t="n">
        <f aca="false">ROUND(AG265-M265,2)</f>
        <v>0</v>
      </c>
      <c r="X265" s="42" t="n">
        <f aca="false">ROUND(AH265-N265,2)</f>
        <v>0</v>
      </c>
      <c r="Y265" s="42" t="n">
        <f aca="false">ROUND(AI265-O265,2)</f>
        <v>0</v>
      </c>
      <c r="Z265" s="56" t="n">
        <f aca="false">ROUND(P264*(1+N(Debts!$D$5)/12),2)</f>
        <v>0</v>
      </c>
      <c r="AA265" s="56" t="n">
        <f aca="false">ROUND(Q264*(1+N(Debts!$D$6)/12),2)</f>
        <v>0</v>
      </c>
      <c r="AB265" s="56" t="n">
        <f aca="false">ROUND(R264*(1+N(Debts!$D$7)/12),2)</f>
        <v>0</v>
      </c>
      <c r="AC265" s="56" t="n">
        <f aca="false">ROUND(S264*(1+N(Debts!$D$8)/12),2)</f>
        <v>0</v>
      </c>
      <c r="AD265" s="56" t="n">
        <f aca="false">ROUND(T264*(1+N(Debts!$D$9)/12),2)</f>
        <v>0</v>
      </c>
      <c r="AE265" s="56" t="n">
        <f aca="false">ROUND(U264*(1+N(Debts!$D$10)/12),2)</f>
        <v>0</v>
      </c>
      <c r="AF265" s="56" t="n">
        <f aca="false">ROUND(V264*(1+N(Debts!$D$11)/12),2)</f>
        <v>0</v>
      </c>
      <c r="AG265" s="56" t="n">
        <f aca="false">ROUND(W264*(1+N(Debts!$D$12)/12),2)</f>
        <v>0</v>
      </c>
      <c r="AH265" s="56" t="n">
        <f aca="false">ROUND(X264*(1+N(Debts!$D$13)/12),2)</f>
        <v>0</v>
      </c>
      <c r="AI265" s="56" t="n">
        <f aca="false">ROUND(Y264*(1+N(Debts!$D$14)/12),2)</f>
        <v>0</v>
      </c>
      <c r="AJ265" s="56" t="n">
        <f aca="false">MIN(Z265,MAX(0,N(Debts!$E$5)))</f>
        <v>0</v>
      </c>
      <c r="AK265" s="56" t="n">
        <f aca="false">MIN(AA265,MAX(0,N(Debts!$E$6)))</f>
        <v>0</v>
      </c>
      <c r="AL265" s="56" t="n">
        <f aca="false">MIN(AB265,MAX(0,N(Debts!$E$7)))</f>
        <v>0</v>
      </c>
      <c r="AM265" s="56" t="n">
        <f aca="false">MIN(AC265,MAX(0,N(Debts!$E$8)))</f>
        <v>0</v>
      </c>
      <c r="AN265" s="56" t="n">
        <f aca="false">MIN(AD265,MAX(0,N(Debts!$E$9)))</f>
        <v>0</v>
      </c>
      <c r="AO265" s="56" t="n">
        <f aca="false">MIN(AE265,MAX(0,N(Debts!$E$10)))</f>
        <v>0</v>
      </c>
      <c r="AP265" s="56" t="n">
        <f aca="false">MIN(AF265,MAX(0,N(Debts!$E$11)))</f>
        <v>0</v>
      </c>
      <c r="AQ265" s="56" t="n">
        <f aca="false">MIN(AG265,MAX(0,N(Debts!$E$12)))</f>
        <v>0</v>
      </c>
      <c r="AR265" s="56" t="n">
        <f aca="false">MIN(AH265,MAX(0,N(Debts!$E$13)))</f>
        <v>0</v>
      </c>
      <c r="AS265" s="56" t="n">
        <f aca="false">MIN(AI265,MAX(0,N(Debts!$E$14)))</f>
        <v>0</v>
      </c>
    </row>
    <row r="266" customFormat="false" ht="15" hidden="false" customHeight="false" outlineLevel="0" collapsed="false">
      <c r="A266" s="53" t="n">
        <v>262</v>
      </c>
      <c r="B266" s="54" t="n">
        <f aca="false">EDATE('Start Here'!$B$8,261)</f>
        <v>54271</v>
      </c>
      <c r="C266" s="42" t="n">
        <f aca="false">SUM(F266:O266)</f>
        <v>0</v>
      </c>
      <c r="D266" s="42" t="n">
        <f aca="false">ROUND(SUM($Z266:$AI266)-SUM(P265:Y265),2)</f>
        <v>0</v>
      </c>
      <c r="E266" s="55" t="n">
        <f aca="false">SUM(P266:Y266)</f>
        <v>0</v>
      </c>
      <c r="F266" s="42" t="n">
        <f aca="false">AJ266+MIN(Z266-AJ266,MAX(0,'Start Here'!$B$10-SUM($AJ266:$AS266)-SUMPRODUCT(($Z$3:$AI$3&lt;Z$3)*($Z266:$AI266-$AJ266:$AS266))))</f>
        <v>0</v>
      </c>
      <c r="G266" s="42" t="n">
        <f aca="false">AK266+MIN(AA266-AK266,MAX(0,'Start Here'!$B$10-SUM($AJ266:$AS266)-SUMPRODUCT(($Z$3:$AI$3&lt;AA$3)*($Z266:$AI266-$AJ266:$AS266))))</f>
        <v>0</v>
      </c>
      <c r="H266" s="42" t="n">
        <f aca="false">AL266+MIN(AB266-AL266,MAX(0,'Start Here'!$B$10-SUM($AJ266:$AS266)-SUMPRODUCT(($Z$3:$AI$3&lt;AB$3)*($Z266:$AI266-$AJ266:$AS266))))</f>
        <v>0</v>
      </c>
      <c r="I266" s="42" t="n">
        <f aca="false">AM266+MIN(AC266-AM266,MAX(0,'Start Here'!$B$10-SUM($AJ266:$AS266)-SUMPRODUCT(($Z$3:$AI$3&lt;AC$3)*($Z266:$AI266-$AJ266:$AS266))))</f>
        <v>0</v>
      </c>
      <c r="J266" s="42" t="n">
        <f aca="false">AN266+MIN(AD266-AN266,MAX(0,'Start Here'!$B$10-SUM($AJ266:$AS266)-SUMPRODUCT(($Z$3:$AI$3&lt;AD$3)*($Z266:$AI266-$AJ266:$AS266))))</f>
        <v>0</v>
      </c>
      <c r="K266" s="42" t="n">
        <f aca="false">AO266+MIN(AE266-AO266,MAX(0,'Start Here'!$B$10-SUM($AJ266:$AS266)-SUMPRODUCT(($Z$3:$AI$3&lt;AE$3)*($Z266:$AI266-$AJ266:$AS266))))</f>
        <v>0</v>
      </c>
      <c r="L266" s="42" t="n">
        <f aca="false">AP266+MIN(AF266-AP266,MAX(0,'Start Here'!$B$10-SUM($AJ266:$AS266)-SUMPRODUCT(($Z$3:$AI$3&lt;AF$3)*($Z266:$AI266-$AJ266:$AS266))))</f>
        <v>0</v>
      </c>
      <c r="M266" s="42" t="n">
        <f aca="false">AQ266+MIN(AG266-AQ266,MAX(0,'Start Here'!$B$10-SUM($AJ266:$AS266)-SUMPRODUCT(($Z$3:$AI$3&lt;AG$3)*($Z266:$AI266-$AJ266:$AS266))))</f>
        <v>0</v>
      </c>
      <c r="N266" s="42" t="n">
        <f aca="false">AR266+MIN(AH266-AR266,MAX(0,'Start Here'!$B$10-SUM($AJ266:$AS266)-SUMPRODUCT(($Z$3:$AI$3&lt;AH$3)*($Z266:$AI266-$AJ266:$AS266))))</f>
        <v>0</v>
      </c>
      <c r="O266" s="42" t="n">
        <f aca="false">AS266+MIN(AI266-AS266,MAX(0,'Start Here'!$B$10-SUM($AJ266:$AS266)-SUMPRODUCT(($Z$3:$AI$3&lt;AI$3)*($Z266:$AI266-$AJ266:$AS266))))</f>
        <v>0</v>
      </c>
      <c r="P266" s="42" t="n">
        <f aca="false">ROUND(Z266-F266,2)</f>
        <v>0</v>
      </c>
      <c r="Q266" s="42" t="n">
        <f aca="false">ROUND(AA266-G266,2)</f>
        <v>0</v>
      </c>
      <c r="R266" s="42" t="n">
        <f aca="false">ROUND(AB266-H266,2)</f>
        <v>0</v>
      </c>
      <c r="S266" s="42" t="n">
        <f aca="false">ROUND(AC266-I266,2)</f>
        <v>0</v>
      </c>
      <c r="T266" s="42" t="n">
        <f aca="false">ROUND(AD266-J266,2)</f>
        <v>0</v>
      </c>
      <c r="U266" s="42" t="n">
        <f aca="false">ROUND(AE266-K266,2)</f>
        <v>0</v>
      </c>
      <c r="V266" s="42" t="n">
        <f aca="false">ROUND(AF266-L266,2)</f>
        <v>0</v>
      </c>
      <c r="W266" s="42" t="n">
        <f aca="false">ROUND(AG266-M266,2)</f>
        <v>0</v>
      </c>
      <c r="X266" s="42" t="n">
        <f aca="false">ROUND(AH266-N266,2)</f>
        <v>0</v>
      </c>
      <c r="Y266" s="42" t="n">
        <f aca="false">ROUND(AI266-O266,2)</f>
        <v>0</v>
      </c>
      <c r="Z266" s="56" t="n">
        <f aca="false">ROUND(P265*(1+N(Debts!$D$5)/12),2)</f>
        <v>0</v>
      </c>
      <c r="AA266" s="56" t="n">
        <f aca="false">ROUND(Q265*(1+N(Debts!$D$6)/12),2)</f>
        <v>0</v>
      </c>
      <c r="AB266" s="56" t="n">
        <f aca="false">ROUND(R265*(1+N(Debts!$D$7)/12),2)</f>
        <v>0</v>
      </c>
      <c r="AC266" s="56" t="n">
        <f aca="false">ROUND(S265*(1+N(Debts!$D$8)/12),2)</f>
        <v>0</v>
      </c>
      <c r="AD266" s="56" t="n">
        <f aca="false">ROUND(T265*(1+N(Debts!$D$9)/12),2)</f>
        <v>0</v>
      </c>
      <c r="AE266" s="56" t="n">
        <f aca="false">ROUND(U265*(1+N(Debts!$D$10)/12),2)</f>
        <v>0</v>
      </c>
      <c r="AF266" s="56" t="n">
        <f aca="false">ROUND(V265*(1+N(Debts!$D$11)/12),2)</f>
        <v>0</v>
      </c>
      <c r="AG266" s="56" t="n">
        <f aca="false">ROUND(W265*(1+N(Debts!$D$12)/12),2)</f>
        <v>0</v>
      </c>
      <c r="AH266" s="56" t="n">
        <f aca="false">ROUND(X265*(1+N(Debts!$D$13)/12),2)</f>
        <v>0</v>
      </c>
      <c r="AI266" s="56" t="n">
        <f aca="false">ROUND(Y265*(1+N(Debts!$D$14)/12),2)</f>
        <v>0</v>
      </c>
      <c r="AJ266" s="56" t="n">
        <f aca="false">MIN(Z266,MAX(0,N(Debts!$E$5)))</f>
        <v>0</v>
      </c>
      <c r="AK266" s="56" t="n">
        <f aca="false">MIN(AA266,MAX(0,N(Debts!$E$6)))</f>
        <v>0</v>
      </c>
      <c r="AL266" s="56" t="n">
        <f aca="false">MIN(AB266,MAX(0,N(Debts!$E$7)))</f>
        <v>0</v>
      </c>
      <c r="AM266" s="56" t="n">
        <f aca="false">MIN(AC266,MAX(0,N(Debts!$E$8)))</f>
        <v>0</v>
      </c>
      <c r="AN266" s="56" t="n">
        <f aca="false">MIN(AD266,MAX(0,N(Debts!$E$9)))</f>
        <v>0</v>
      </c>
      <c r="AO266" s="56" t="n">
        <f aca="false">MIN(AE266,MAX(0,N(Debts!$E$10)))</f>
        <v>0</v>
      </c>
      <c r="AP266" s="56" t="n">
        <f aca="false">MIN(AF266,MAX(0,N(Debts!$E$11)))</f>
        <v>0</v>
      </c>
      <c r="AQ266" s="56" t="n">
        <f aca="false">MIN(AG266,MAX(0,N(Debts!$E$12)))</f>
        <v>0</v>
      </c>
      <c r="AR266" s="56" t="n">
        <f aca="false">MIN(AH266,MAX(0,N(Debts!$E$13)))</f>
        <v>0</v>
      </c>
      <c r="AS266" s="56" t="n">
        <f aca="false">MIN(AI266,MAX(0,N(Debts!$E$14)))</f>
        <v>0</v>
      </c>
    </row>
    <row r="267" customFormat="false" ht="15" hidden="false" customHeight="false" outlineLevel="0" collapsed="false">
      <c r="A267" s="53" t="n">
        <v>263</v>
      </c>
      <c r="B267" s="54" t="n">
        <f aca="false">EDATE('Start Here'!$B$8,262)</f>
        <v>54302</v>
      </c>
      <c r="C267" s="42" t="n">
        <f aca="false">SUM(F267:O267)</f>
        <v>0</v>
      </c>
      <c r="D267" s="42" t="n">
        <f aca="false">ROUND(SUM($Z267:$AI267)-SUM(P266:Y266),2)</f>
        <v>0</v>
      </c>
      <c r="E267" s="55" t="n">
        <f aca="false">SUM(P267:Y267)</f>
        <v>0</v>
      </c>
      <c r="F267" s="42" t="n">
        <f aca="false">AJ267+MIN(Z267-AJ267,MAX(0,'Start Here'!$B$10-SUM($AJ267:$AS267)-SUMPRODUCT(($Z$3:$AI$3&lt;Z$3)*($Z267:$AI267-$AJ267:$AS267))))</f>
        <v>0</v>
      </c>
      <c r="G267" s="42" t="n">
        <f aca="false">AK267+MIN(AA267-AK267,MAX(0,'Start Here'!$B$10-SUM($AJ267:$AS267)-SUMPRODUCT(($Z$3:$AI$3&lt;AA$3)*($Z267:$AI267-$AJ267:$AS267))))</f>
        <v>0</v>
      </c>
      <c r="H267" s="42" t="n">
        <f aca="false">AL267+MIN(AB267-AL267,MAX(0,'Start Here'!$B$10-SUM($AJ267:$AS267)-SUMPRODUCT(($Z$3:$AI$3&lt;AB$3)*($Z267:$AI267-$AJ267:$AS267))))</f>
        <v>0</v>
      </c>
      <c r="I267" s="42" t="n">
        <f aca="false">AM267+MIN(AC267-AM267,MAX(0,'Start Here'!$B$10-SUM($AJ267:$AS267)-SUMPRODUCT(($Z$3:$AI$3&lt;AC$3)*($Z267:$AI267-$AJ267:$AS267))))</f>
        <v>0</v>
      </c>
      <c r="J267" s="42" t="n">
        <f aca="false">AN267+MIN(AD267-AN267,MAX(0,'Start Here'!$B$10-SUM($AJ267:$AS267)-SUMPRODUCT(($Z$3:$AI$3&lt;AD$3)*($Z267:$AI267-$AJ267:$AS267))))</f>
        <v>0</v>
      </c>
      <c r="K267" s="42" t="n">
        <f aca="false">AO267+MIN(AE267-AO267,MAX(0,'Start Here'!$B$10-SUM($AJ267:$AS267)-SUMPRODUCT(($Z$3:$AI$3&lt;AE$3)*($Z267:$AI267-$AJ267:$AS267))))</f>
        <v>0</v>
      </c>
      <c r="L267" s="42" t="n">
        <f aca="false">AP267+MIN(AF267-AP267,MAX(0,'Start Here'!$B$10-SUM($AJ267:$AS267)-SUMPRODUCT(($Z$3:$AI$3&lt;AF$3)*($Z267:$AI267-$AJ267:$AS267))))</f>
        <v>0</v>
      </c>
      <c r="M267" s="42" t="n">
        <f aca="false">AQ267+MIN(AG267-AQ267,MAX(0,'Start Here'!$B$10-SUM($AJ267:$AS267)-SUMPRODUCT(($Z$3:$AI$3&lt;AG$3)*($Z267:$AI267-$AJ267:$AS267))))</f>
        <v>0</v>
      </c>
      <c r="N267" s="42" t="n">
        <f aca="false">AR267+MIN(AH267-AR267,MAX(0,'Start Here'!$B$10-SUM($AJ267:$AS267)-SUMPRODUCT(($Z$3:$AI$3&lt;AH$3)*($Z267:$AI267-$AJ267:$AS267))))</f>
        <v>0</v>
      </c>
      <c r="O267" s="42" t="n">
        <f aca="false">AS267+MIN(AI267-AS267,MAX(0,'Start Here'!$B$10-SUM($AJ267:$AS267)-SUMPRODUCT(($Z$3:$AI$3&lt;AI$3)*($Z267:$AI267-$AJ267:$AS267))))</f>
        <v>0</v>
      </c>
      <c r="P267" s="42" t="n">
        <f aca="false">ROUND(Z267-F267,2)</f>
        <v>0</v>
      </c>
      <c r="Q267" s="42" t="n">
        <f aca="false">ROUND(AA267-G267,2)</f>
        <v>0</v>
      </c>
      <c r="R267" s="42" t="n">
        <f aca="false">ROUND(AB267-H267,2)</f>
        <v>0</v>
      </c>
      <c r="S267" s="42" t="n">
        <f aca="false">ROUND(AC267-I267,2)</f>
        <v>0</v>
      </c>
      <c r="T267" s="42" t="n">
        <f aca="false">ROUND(AD267-J267,2)</f>
        <v>0</v>
      </c>
      <c r="U267" s="42" t="n">
        <f aca="false">ROUND(AE267-K267,2)</f>
        <v>0</v>
      </c>
      <c r="V267" s="42" t="n">
        <f aca="false">ROUND(AF267-L267,2)</f>
        <v>0</v>
      </c>
      <c r="W267" s="42" t="n">
        <f aca="false">ROUND(AG267-M267,2)</f>
        <v>0</v>
      </c>
      <c r="X267" s="42" t="n">
        <f aca="false">ROUND(AH267-N267,2)</f>
        <v>0</v>
      </c>
      <c r="Y267" s="42" t="n">
        <f aca="false">ROUND(AI267-O267,2)</f>
        <v>0</v>
      </c>
      <c r="Z267" s="56" t="n">
        <f aca="false">ROUND(P266*(1+N(Debts!$D$5)/12),2)</f>
        <v>0</v>
      </c>
      <c r="AA267" s="56" t="n">
        <f aca="false">ROUND(Q266*(1+N(Debts!$D$6)/12),2)</f>
        <v>0</v>
      </c>
      <c r="AB267" s="56" t="n">
        <f aca="false">ROUND(R266*(1+N(Debts!$D$7)/12),2)</f>
        <v>0</v>
      </c>
      <c r="AC267" s="56" t="n">
        <f aca="false">ROUND(S266*(1+N(Debts!$D$8)/12),2)</f>
        <v>0</v>
      </c>
      <c r="AD267" s="56" t="n">
        <f aca="false">ROUND(T266*(1+N(Debts!$D$9)/12),2)</f>
        <v>0</v>
      </c>
      <c r="AE267" s="56" t="n">
        <f aca="false">ROUND(U266*(1+N(Debts!$D$10)/12),2)</f>
        <v>0</v>
      </c>
      <c r="AF267" s="56" t="n">
        <f aca="false">ROUND(V266*(1+N(Debts!$D$11)/12),2)</f>
        <v>0</v>
      </c>
      <c r="AG267" s="56" t="n">
        <f aca="false">ROUND(W266*(1+N(Debts!$D$12)/12),2)</f>
        <v>0</v>
      </c>
      <c r="AH267" s="56" t="n">
        <f aca="false">ROUND(X266*(1+N(Debts!$D$13)/12),2)</f>
        <v>0</v>
      </c>
      <c r="AI267" s="56" t="n">
        <f aca="false">ROUND(Y266*(1+N(Debts!$D$14)/12),2)</f>
        <v>0</v>
      </c>
      <c r="AJ267" s="56" t="n">
        <f aca="false">MIN(Z267,MAX(0,N(Debts!$E$5)))</f>
        <v>0</v>
      </c>
      <c r="AK267" s="56" t="n">
        <f aca="false">MIN(AA267,MAX(0,N(Debts!$E$6)))</f>
        <v>0</v>
      </c>
      <c r="AL267" s="56" t="n">
        <f aca="false">MIN(AB267,MAX(0,N(Debts!$E$7)))</f>
        <v>0</v>
      </c>
      <c r="AM267" s="56" t="n">
        <f aca="false">MIN(AC267,MAX(0,N(Debts!$E$8)))</f>
        <v>0</v>
      </c>
      <c r="AN267" s="56" t="n">
        <f aca="false">MIN(AD267,MAX(0,N(Debts!$E$9)))</f>
        <v>0</v>
      </c>
      <c r="AO267" s="56" t="n">
        <f aca="false">MIN(AE267,MAX(0,N(Debts!$E$10)))</f>
        <v>0</v>
      </c>
      <c r="AP267" s="56" t="n">
        <f aca="false">MIN(AF267,MAX(0,N(Debts!$E$11)))</f>
        <v>0</v>
      </c>
      <c r="AQ267" s="56" t="n">
        <f aca="false">MIN(AG267,MAX(0,N(Debts!$E$12)))</f>
        <v>0</v>
      </c>
      <c r="AR267" s="56" t="n">
        <f aca="false">MIN(AH267,MAX(0,N(Debts!$E$13)))</f>
        <v>0</v>
      </c>
      <c r="AS267" s="56" t="n">
        <f aca="false">MIN(AI267,MAX(0,N(Debts!$E$14)))</f>
        <v>0</v>
      </c>
    </row>
    <row r="268" customFormat="false" ht="15" hidden="false" customHeight="false" outlineLevel="0" collapsed="false">
      <c r="A268" s="53" t="n">
        <v>264</v>
      </c>
      <c r="B268" s="54" t="n">
        <f aca="false">EDATE('Start Here'!$B$8,263)</f>
        <v>54332</v>
      </c>
      <c r="C268" s="42" t="n">
        <f aca="false">SUM(F268:O268)</f>
        <v>0</v>
      </c>
      <c r="D268" s="42" t="n">
        <f aca="false">ROUND(SUM($Z268:$AI268)-SUM(P267:Y267),2)</f>
        <v>0</v>
      </c>
      <c r="E268" s="55" t="n">
        <f aca="false">SUM(P268:Y268)</f>
        <v>0</v>
      </c>
      <c r="F268" s="42" t="n">
        <f aca="false">AJ268+MIN(Z268-AJ268,MAX(0,'Start Here'!$B$10-SUM($AJ268:$AS268)-SUMPRODUCT(($Z$3:$AI$3&lt;Z$3)*($Z268:$AI268-$AJ268:$AS268))))</f>
        <v>0</v>
      </c>
      <c r="G268" s="42" t="n">
        <f aca="false">AK268+MIN(AA268-AK268,MAX(0,'Start Here'!$B$10-SUM($AJ268:$AS268)-SUMPRODUCT(($Z$3:$AI$3&lt;AA$3)*($Z268:$AI268-$AJ268:$AS268))))</f>
        <v>0</v>
      </c>
      <c r="H268" s="42" t="n">
        <f aca="false">AL268+MIN(AB268-AL268,MAX(0,'Start Here'!$B$10-SUM($AJ268:$AS268)-SUMPRODUCT(($Z$3:$AI$3&lt;AB$3)*($Z268:$AI268-$AJ268:$AS268))))</f>
        <v>0</v>
      </c>
      <c r="I268" s="42" t="n">
        <f aca="false">AM268+MIN(AC268-AM268,MAX(0,'Start Here'!$B$10-SUM($AJ268:$AS268)-SUMPRODUCT(($Z$3:$AI$3&lt;AC$3)*($Z268:$AI268-$AJ268:$AS268))))</f>
        <v>0</v>
      </c>
      <c r="J268" s="42" t="n">
        <f aca="false">AN268+MIN(AD268-AN268,MAX(0,'Start Here'!$B$10-SUM($AJ268:$AS268)-SUMPRODUCT(($Z$3:$AI$3&lt;AD$3)*($Z268:$AI268-$AJ268:$AS268))))</f>
        <v>0</v>
      </c>
      <c r="K268" s="42" t="n">
        <f aca="false">AO268+MIN(AE268-AO268,MAX(0,'Start Here'!$B$10-SUM($AJ268:$AS268)-SUMPRODUCT(($Z$3:$AI$3&lt;AE$3)*($Z268:$AI268-$AJ268:$AS268))))</f>
        <v>0</v>
      </c>
      <c r="L268" s="42" t="n">
        <f aca="false">AP268+MIN(AF268-AP268,MAX(0,'Start Here'!$B$10-SUM($AJ268:$AS268)-SUMPRODUCT(($Z$3:$AI$3&lt;AF$3)*($Z268:$AI268-$AJ268:$AS268))))</f>
        <v>0</v>
      </c>
      <c r="M268" s="42" t="n">
        <f aca="false">AQ268+MIN(AG268-AQ268,MAX(0,'Start Here'!$B$10-SUM($AJ268:$AS268)-SUMPRODUCT(($Z$3:$AI$3&lt;AG$3)*($Z268:$AI268-$AJ268:$AS268))))</f>
        <v>0</v>
      </c>
      <c r="N268" s="42" t="n">
        <f aca="false">AR268+MIN(AH268-AR268,MAX(0,'Start Here'!$B$10-SUM($AJ268:$AS268)-SUMPRODUCT(($Z$3:$AI$3&lt;AH$3)*($Z268:$AI268-$AJ268:$AS268))))</f>
        <v>0</v>
      </c>
      <c r="O268" s="42" t="n">
        <f aca="false">AS268+MIN(AI268-AS268,MAX(0,'Start Here'!$B$10-SUM($AJ268:$AS268)-SUMPRODUCT(($Z$3:$AI$3&lt;AI$3)*($Z268:$AI268-$AJ268:$AS268))))</f>
        <v>0</v>
      </c>
      <c r="P268" s="42" t="n">
        <f aca="false">ROUND(Z268-F268,2)</f>
        <v>0</v>
      </c>
      <c r="Q268" s="42" t="n">
        <f aca="false">ROUND(AA268-G268,2)</f>
        <v>0</v>
      </c>
      <c r="R268" s="42" t="n">
        <f aca="false">ROUND(AB268-H268,2)</f>
        <v>0</v>
      </c>
      <c r="S268" s="42" t="n">
        <f aca="false">ROUND(AC268-I268,2)</f>
        <v>0</v>
      </c>
      <c r="T268" s="42" t="n">
        <f aca="false">ROUND(AD268-J268,2)</f>
        <v>0</v>
      </c>
      <c r="U268" s="42" t="n">
        <f aca="false">ROUND(AE268-K268,2)</f>
        <v>0</v>
      </c>
      <c r="V268" s="42" t="n">
        <f aca="false">ROUND(AF268-L268,2)</f>
        <v>0</v>
      </c>
      <c r="W268" s="42" t="n">
        <f aca="false">ROUND(AG268-M268,2)</f>
        <v>0</v>
      </c>
      <c r="X268" s="42" t="n">
        <f aca="false">ROUND(AH268-N268,2)</f>
        <v>0</v>
      </c>
      <c r="Y268" s="42" t="n">
        <f aca="false">ROUND(AI268-O268,2)</f>
        <v>0</v>
      </c>
      <c r="Z268" s="56" t="n">
        <f aca="false">ROUND(P267*(1+N(Debts!$D$5)/12),2)</f>
        <v>0</v>
      </c>
      <c r="AA268" s="56" t="n">
        <f aca="false">ROUND(Q267*(1+N(Debts!$D$6)/12),2)</f>
        <v>0</v>
      </c>
      <c r="AB268" s="56" t="n">
        <f aca="false">ROUND(R267*(1+N(Debts!$D$7)/12),2)</f>
        <v>0</v>
      </c>
      <c r="AC268" s="56" t="n">
        <f aca="false">ROUND(S267*(1+N(Debts!$D$8)/12),2)</f>
        <v>0</v>
      </c>
      <c r="AD268" s="56" t="n">
        <f aca="false">ROUND(T267*(1+N(Debts!$D$9)/12),2)</f>
        <v>0</v>
      </c>
      <c r="AE268" s="56" t="n">
        <f aca="false">ROUND(U267*(1+N(Debts!$D$10)/12),2)</f>
        <v>0</v>
      </c>
      <c r="AF268" s="56" t="n">
        <f aca="false">ROUND(V267*(1+N(Debts!$D$11)/12),2)</f>
        <v>0</v>
      </c>
      <c r="AG268" s="56" t="n">
        <f aca="false">ROUND(W267*(1+N(Debts!$D$12)/12),2)</f>
        <v>0</v>
      </c>
      <c r="AH268" s="56" t="n">
        <f aca="false">ROUND(X267*(1+N(Debts!$D$13)/12),2)</f>
        <v>0</v>
      </c>
      <c r="AI268" s="56" t="n">
        <f aca="false">ROUND(Y267*(1+N(Debts!$D$14)/12),2)</f>
        <v>0</v>
      </c>
      <c r="AJ268" s="56" t="n">
        <f aca="false">MIN(Z268,MAX(0,N(Debts!$E$5)))</f>
        <v>0</v>
      </c>
      <c r="AK268" s="56" t="n">
        <f aca="false">MIN(AA268,MAX(0,N(Debts!$E$6)))</f>
        <v>0</v>
      </c>
      <c r="AL268" s="56" t="n">
        <f aca="false">MIN(AB268,MAX(0,N(Debts!$E$7)))</f>
        <v>0</v>
      </c>
      <c r="AM268" s="56" t="n">
        <f aca="false">MIN(AC268,MAX(0,N(Debts!$E$8)))</f>
        <v>0</v>
      </c>
      <c r="AN268" s="56" t="n">
        <f aca="false">MIN(AD268,MAX(0,N(Debts!$E$9)))</f>
        <v>0</v>
      </c>
      <c r="AO268" s="56" t="n">
        <f aca="false">MIN(AE268,MAX(0,N(Debts!$E$10)))</f>
        <v>0</v>
      </c>
      <c r="AP268" s="56" t="n">
        <f aca="false">MIN(AF268,MAX(0,N(Debts!$E$11)))</f>
        <v>0</v>
      </c>
      <c r="AQ268" s="56" t="n">
        <f aca="false">MIN(AG268,MAX(0,N(Debts!$E$12)))</f>
        <v>0</v>
      </c>
      <c r="AR268" s="56" t="n">
        <f aca="false">MIN(AH268,MAX(0,N(Debts!$E$13)))</f>
        <v>0</v>
      </c>
      <c r="AS268" s="56" t="n">
        <f aca="false">MIN(AI268,MAX(0,N(Debts!$E$14)))</f>
        <v>0</v>
      </c>
    </row>
    <row r="269" customFormat="false" ht="15" hidden="false" customHeight="false" outlineLevel="0" collapsed="false">
      <c r="A269" s="53" t="n">
        <v>265</v>
      </c>
      <c r="B269" s="54" t="n">
        <f aca="false">EDATE('Start Here'!$B$8,264)</f>
        <v>54363</v>
      </c>
      <c r="C269" s="42" t="n">
        <f aca="false">SUM(F269:O269)</f>
        <v>0</v>
      </c>
      <c r="D269" s="42" t="n">
        <f aca="false">ROUND(SUM($Z269:$AI269)-SUM(P268:Y268),2)</f>
        <v>0</v>
      </c>
      <c r="E269" s="55" t="n">
        <f aca="false">SUM(P269:Y269)</f>
        <v>0</v>
      </c>
      <c r="F269" s="42" t="n">
        <f aca="false">AJ269+MIN(Z269-AJ269,MAX(0,'Start Here'!$B$10-SUM($AJ269:$AS269)-SUMPRODUCT(($Z$3:$AI$3&lt;Z$3)*($Z269:$AI269-$AJ269:$AS269))))</f>
        <v>0</v>
      </c>
      <c r="G269" s="42" t="n">
        <f aca="false">AK269+MIN(AA269-AK269,MAX(0,'Start Here'!$B$10-SUM($AJ269:$AS269)-SUMPRODUCT(($Z$3:$AI$3&lt;AA$3)*($Z269:$AI269-$AJ269:$AS269))))</f>
        <v>0</v>
      </c>
      <c r="H269" s="42" t="n">
        <f aca="false">AL269+MIN(AB269-AL269,MAX(0,'Start Here'!$B$10-SUM($AJ269:$AS269)-SUMPRODUCT(($Z$3:$AI$3&lt;AB$3)*($Z269:$AI269-$AJ269:$AS269))))</f>
        <v>0</v>
      </c>
      <c r="I269" s="42" t="n">
        <f aca="false">AM269+MIN(AC269-AM269,MAX(0,'Start Here'!$B$10-SUM($AJ269:$AS269)-SUMPRODUCT(($Z$3:$AI$3&lt;AC$3)*($Z269:$AI269-$AJ269:$AS269))))</f>
        <v>0</v>
      </c>
      <c r="J269" s="42" t="n">
        <f aca="false">AN269+MIN(AD269-AN269,MAX(0,'Start Here'!$B$10-SUM($AJ269:$AS269)-SUMPRODUCT(($Z$3:$AI$3&lt;AD$3)*($Z269:$AI269-$AJ269:$AS269))))</f>
        <v>0</v>
      </c>
      <c r="K269" s="42" t="n">
        <f aca="false">AO269+MIN(AE269-AO269,MAX(0,'Start Here'!$B$10-SUM($AJ269:$AS269)-SUMPRODUCT(($Z$3:$AI$3&lt;AE$3)*($Z269:$AI269-$AJ269:$AS269))))</f>
        <v>0</v>
      </c>
      <c r="L269" s="42" t="n">
        <f aca="false">AP269+MIN(AF269-AP269,MAX(0,'Start Here'!$B$10-SUM($AJ269:$AS269)-SUMPRODUCT(($Z$3:$AI$3&lt;AF$3)*($Z269:$AI269-$AJ269:$AS269))))</f>
        <v>0</v>
      </c>
      <c r="M269" s="42" t="n">
        <f aca="false">AQ269+MIN(AG269-AQ269,MAX(0,'Start Here'!$B$10-SUM($AJ269:$AS269)-SUMPRODUCT(($Z$3:$AI$3&lt;AG$3)*($Z269:$AI269-$AJ269:$AS269))))</f>
        <v>0</v>
      </c>
      <c r="N269" s="42" t="n">
        <f aca="false">AR269+MIN(AH269-AR269,MAX(0,'Start Here'!$B$10-SUM($AJ269:$AS269)-SUMPRODUCT(($Z$3:$AI$3&lt;AH$3)*($Z269:$AI269-$AJ269:$AS269))))</f>
        <v>0</v>
      </c>
      <c r="O269" s="42" t="n">
        <f aca="false">AS269+MIN(AI269-AS269,MAX(0,'Start Here'!$B$10-SUM($AJ269:$AS269)-SUMPRODUCT(($Z$3:$AI$3&lt;AI$3)*($Z269:$AI269-$AJ269:$AS269))))</f>
        <v>0</v>
      </c>
      <c r="P269" s="42" t="n">
        <f aca="false">ROUND(Z269-F269,2)</f>
        <v>0</v>
      </c>
      <c r="Q269" s="42" t="n">
        <f aca="false">ROUND(AA269-G269,2)</f>
        <v>0</v>
      </c>
      <c r="R269" s="42" t="n">
        <f aca="false">ROUND(AB269-H269,2)</f>
        <v>0</v>
      </c>
      <c r="S269" s="42" t="n">
        <f aca="false">ROUND(AC269-I269,2)</f>
        <v>0</v>
      </c>
      <c r="T269" s="42" t="n">
        <f aca="false">ROUND(AD269-J269,2)</f>
        <v>0</v>
      </c>
      <c r="U269" s="42" t="n">
        <f aca="false">ROUND(AE269-K269,2)</f>
        <v>0</v>
      </c>
      <c r="V269" s="42" t="n">
        <f aca="false">ROUND(AF269-L269,2)</f>
        <v>0</v>
      </c>
      <c r="W269" s="42" t="n">
        <f aca="false">ROUND(AG269-M269,2)</f>
        <v>0</v>
      </c>
      <c r="X269" s="42" t="n">
        <f aca="false">ROUND(AH269-N269,2)</f>
        <v>0</v>
      </c>
      <c r="Y269" s="42" t="n">
        <f aca="false">ROUND(AI269-O269,2)</f>
        <v>0</v>
      </c>
      <c r="Z269" s="56" t="n">
        <f aca="false">ROUND(P268*(1+N(Debts!$D$5)/12),2)</f>
        <v>0</v>
      </c>
      <c r="AA269" s="56" t="n">
        <f aca="false">ROUND(Q268*(1+N(Debts!$D$6)/12),2)</f>
        <v>0</v>
      </c>
      <c r="AB269" s="56" t="n">
        <f aca="false">ROUND(R268*(1+N(Debts!$D$7)/12),2)</f>
        <v>0</v>
      </c>
      <c r="AC269" s="56" t="n">
        <f aca="false">ROUND(S268*(1+N(Debts!$D$8)/12),2)</f>
        <v>0</v>
      </c>
      <c r="AD269" s="56" t="n">
        <f aca="false">ROUND(T268*(1+N(Debts!$D$9)/12),2)</f>
        <v>0</v>
      </c>
      <c r="AE269" s="56" t="n">
        <f aca="false">ROUND(U268*(1+N(Debts!$D$10)/12),2)</f>
        <v>0</v>
      </c>
      <c r="AF269" s="56" t="n">
        <f aca="false">ROUND(V268*(1+N(Debts!$D$11)/12),2)</f>
        <v>0</v>
      </c>
      <c r="AG269" s="56" t="n">
        <f aca="false">ROUND(W268*(1+N(Debts!$D$12)/12),2)</f>
        <v>0</v>
      </c>
      <c r="AH269" s="56" t="n">
        <f aca="false">ROUND(X268*(1+N(Debts!$D$13)/12),2)</f>
        <v>0</v>
      </c>
      <c r="AI269" s="56" t="n">
        <f aca="false">ROUND(Y268*(1+N(Debts!$D$14)/12),2)</f>
        <v>0</v>
      </c>
      <c r="AJ269" s="56" t="n">
        <f aca="false">MIN(Z269,MAX(0,N(Debts!$E$5)))</f>
        <v>0</v>
      </c>
      <c r="AK269" s="56" t="n">
        <f aca="false">MIN(AA269,MAX(0,N(Debts!$E$6)))</f>
        <v>0</v>
      </c>
      <c r="AL269" s="56" t="n">
        <f aca="false">MIN(AB269,MAX(0,N(Debts!$E$7)))</f>
        <v>0</v>
      </c>
      <c r="AM269" s="56" t="n">
        <f aca="false">MIN(AC269,MAX(0,N(Debts!$E$8)))</f>
        <v>0</v>
      </c>
      <c r="AN269" s="56" t="n">
        <f aca="false">MIN(AD269,MAX(0,N(Debts!$E$9)))</f>
        <v>0</v>
      </c>
      <c r="AO269" s="56" t="n">
        <f aca="false">MIN(AE269,MAX(0,N(Debts!$E$10)))</f>
        <v>0</v>
      </c>
      <c r="AP269" s="56" t="n">
        <f aca="false">MIN(AF269,MAX(0,N(Debts!$E$11)))</f>
        <v>0</v>
      </c>
      <c r="AQ269" s="56" t="n">
        <f aca="false">MIN(AG269,MAX(0,N(Debts!$E$12)))</f>
        <v>0</v>
      </c>
      <c r="AR269" s="56" t="n">
        <f aca="false">MIN(AH269,MAX(0,N(Debts!$E$13)))</f>
        <v>0</v>
      </c>
      <c r="AS269" s="56" t="n">
        <f aca="false">MIN(AI269,MAX(0,N(Debts!$E$14)))</f>
        <v>0</v>
      </c>
    </row>
    <row r="270" customFormat="false" ht="15" hidden="false" customHeight="false" outlineLevel="0" collapsed="false">
      <c r="A270" s="53" t="n">
        <v>266</v>
      </c>
      <c r="B270" s="54" t="n">
        <f aca="false">EDATE('Start Here'!$B$8,265)</f>
        <v>54393</v>
      </c>
      <c r="C270" s="42" t="n">
        <f aca="false">SUM(F270:O270)</f>
        <v>0</v>
      </c>
      <c r="D270" s="42" t="n">
        <f aca="false">ROUND(SUM($Z270:$AI270)-SUM(P269:Y269),2)</f>
        <v>0</v>
      </c>
      <c r="E270" s="55" t="n">
        <f aca="false">SUM(P270:Y270)</f>
        <v>0</v>
      </c>
      <c r="F270" s="42" t="n">
        <f aca="false">AJ270+MIN(Z270-AJ270,MAX(0,'Start Here'!$B$10-SUM($AJ270:$AS270)-SUMPRODUCT(($Z$3:$AI$3&lt;Z$3)*($Z270:$AI270-$AJ270:$AS270))))</f>
        <v>0</v>
      </c>
      <c r="G270" s="42" t="n">
        <f aca="false">AK270+MIN(AA270-AK270,MAX(0,'Start Here'!$B$10-SUM($AJ270:$AS270)-SUMPRODUCT(($Z$3:$AI$3&lt;AA$3)*($Z270:$AI270-$AJ270:$AS270))))</f>
        <v>0</v>
      </c>
      <c r="H270" s="42" t="n">
        <f aca="false">AL270+MIN(AB270-AL270,MAX(0,'Start Here'!$B$10-SUM($AJ270:$AS270)-SUMPRODUCT(($Z$3:$AI$3&lt;AB$3)*($Z270:$AI270-$AJ270:$AS270))))</f>
        <v>0</v>
      </c>
      <c r="I270" s="42" t="n">
        <f aca="false">AM270+MIN(AC270-AM270,MAX(0,'Start Here'!$B$10-SUM($AJ270:$AS270)-SUMPRODUCT(($Z$3:$AI$3&lt;AC$3)*($Z270:$AI270-$AJ270:$AS270))))</f>
        <v>0</v>
      </c>
      <c r="J270" s="42" t="n">
        <f aca="false">AN270+MIN(AD270-AN270,MAX(0,'Start Here'!$B$10-SUM($AJ270:$AS270)-SUMPRODUCT(($Z$3:$AI$3&lt;AD$3)*($Z270:$AI270-$AJ270:$AS270))))</f>
        <v>0</v>
      </c>
      <c r="K270" s="42" t="n">
        <f aca="false">AO270+MIN(AE270-AO270,MAX(0,'Start Here'!$B$10-SUM($AJ270:$AS270)-SUMPRODUCT(($Z$3:$AI$3&lt;AE$3)*($Z270:$AI270-$AJ270:$AS270))))</f>
        <v>0</v>
      </c>
      <c r="L270" s="42" t="n">
        <f aca="false">AP270+MIN(AF270-AP270,MAX(0,'Start Here'!$B$10-SUM($AJ270:$AS270)-SUMPRODUCT(($Z$3:$AI$3&lt;AF$3)*($Z270:$AI270-$AJ270:$AS270))))</f>
        <v>0</v>
      </c>
      <c r="M270" s="42" t="n">
        <f aca="false">AQ270+MIN(AG270-AQ270,MAX(0,'Start Here'!$B$10-SUM($AJ270:$AS270)-SUMPRODUCT(($Z$3:$AI$3&lt;AG$3)*($Z270:$AI270-$AJ270:$AS270))))</f>
        <v>0</v>
      </c>
      <c r="N270" s="42" t="n">
        <f aca="false">AR270+MIN(AH270-AR270,MAX(0,'Start Here'!$B$10-SUM($AJ270:$AS270)-SUMPRODUCT(($Z$3:$AI$3&lt;AH$3)*($Z270:$AI270-$AJ270:$AS270))))</f>
        <v>0</v>
      </c>
      <c r="O270" s="42" t="n">
        <f aca="false">AS270+MIN(AI270-AS270,MAX(0,'Start Here'!$B$10-SUM($AJ270:$AS270)-SUMPRODUCT(($Z$3:$AI$3&lt;AI$3)*($Z270:$AI270-$AJ270:$AS270))))</f>
        <v>0</v>
      </c>
      <c r="P270" s="42" t="n">
        <f aca="false">ROUND(Z270-F270,2)</f>
        <v>0</v>
      </c>
      <c r="Q270" s="42" t="n">
        <f aca="false">ROUND(AA270-G270,2)</f>
        <v>0</v>
      </c>
      <c r="R270" s="42" t="n">
        <f aca="false">ROUND(AB270-H270,2)</f>
        <v>0</v>
      </c>
      <c r="S270" s="42" t="n">
        <f aca="false">ROUND(AC270-I270,2)</f>
        <v>0</v>
      </c>
      <c r="T270" s="42" t="n">
        <f aca="false">ROUND(AD270-J270,2)</f>
        <v>0</v>
      </c>
      <c r="U270" s="42" t="n">
        <f aca="false">ROUND(AE270-K270,2)</f>
        <v>0</v>
      </c>
      <c r="V270" s="42" t="n">
        <f aca="false">ROUND(AF270-L270,2)</f>
        <v>0</v>
      </c>
      <c r="W270" s="42" t="n">
        <f aca="false">ROUND(AG270-M270,2)</f>
        <v>0</v>
      </c>
      <c r="X270" s="42" t="n">
        <f aca="false">ROUND(AH270-N270,2)</f>
        <v>0</v>
      </c>
      <c r="Y270" s="42" t="n">
        <f aca="false">ROUND(AI270-O270,2)</f>
        <v>0</v>
      </c>
      <c r="Z270" s="56" t="n">
        <f aca="false">ROUND(P269*(1+N(Debts!$D$5)/12),2)</f>
        <v>0</v>
      </c>
      <c r="AA270" s="56" t="n">
        <f aca="false">ROUND(Q269*(1+N(Debts!$D$6)/12),2)</f>
        <v>0</v>
      </c>
      <c r="AB270" s="56" t="n">
        <f aca="false">ROUND(R269*(1+N(Debts!$D$7)/12),2)</f>
        <v>0</v>
      </c>
      <c r="AC270" s="56" t="n">
        <f aca="false">ROUND(S269*(1+N(Debts!$D$8)/12),2)</f>
        <v>0</v>
      </c>
      <c r="AD270" s="56" t="n">
        <f aca="false">ROUND(T269*(1+N(Debts!$D$9)/12),2)</f>
        <v>0</v>
      </c>
      <c r="AE270" s="56" t="n">
        <f aca="false">ROUND(U269*(1+N(Debts!$D$10)/12),2)</f>
        <v>0</v>
      </c>
      <c r="AF270" s="56" t="n">
        <f aca="false">ROUND(V269*(1+N(Debts!$D$11)/12),2)</f>
        <v>0</v>
      </c>
      <c r="AG270" s="56" t="n">
        <f aca="false">ROUND(W269*(1+N(Debts!$D$12)/12),2)</f>
        <v>0</v>
      </c>
      <c r="AH270" s="56" t="n">
        <f aca="false">ROUND(X269*(1+N(Debts!$D$13)/12),2)</f>
        <v>0</v>
      </c>
      <c r="AI270" s="56" t="n">
        <f aca="false">ROUND(Y269*(1+N(Debts!$D$14)/12),2)</f>
        <v>0</v>
      </c>
      <c r="AJ270" s="56" t="n">
        <f aca="false">MIN(Z270,MAX(0,N(Debts!$E$5)))</f>
        <v>0</v>
      </c>
      <c r="AK270" s="56" t="n">
        <f aca="false">MIN(AA270,MAX(0,N(Debts!$E$6)))</f>
        <v>0</v>
      </c>
      <c r="AL270" s="56" t="n">
        <f aca="false">MIN(AB270,MAX(0,N(Debts!$E$7)))</f>
        <v>0</v>
      </c>
      <c r="AM270" s="56" t="n">
        <f aca="false">MIN(AC270,MAX(0,N(Debts!$E$8)))</f>
        <v>0</v>
      </c>
      <c r="AN270" s="56" t="n">
        <f aca="false">MIN(AD270,MAX(0,N(Debts!$E$9)))</f>
        <v>0</v>
      </c>
      <c r="AO270" s="56" t="n">
        <f aca="false">MIN(AE270,MAX(0,N(Debts!$E$10)))</f>
        <v>0</v>
      </c>
      <c r="AP270" s="56" t="n">
        <f aca="false">MIN(AF270,MAX(0,N(Debts!$E$11)))</f>
        <v>0</v>
      </c>
      <c r="AQ270" s="56" t="n">
        <f aca="false">MIN(AG270,MAX(0,N(Debts!$E$12)))</f>
        <v>0</v>
      </c>
      <c r="AR270" s="56" t="n">
        <f aca="false">MIN(AH270,MAX(0,N(Debts!$E$13)))</f>
        <v>0</v>
      </c>
      <c r="AS270" s="56" t="n">
        <f aca="false">MIN(AI270,MAX(0,N(Debts!$E$14)))</f>
        <v>0</v>
      </c>
    </row>
    <row r="271" customFormat="false" ht="15" hidden="false" customHeight="false" outlineLevel="0" collapsed="false">
      <c r="A271" s="53" t="n">
        <v>267</v>
      </c>
      <c r="B271" s="54" t="n">
        <f aca="false">EDATE('Start Here'!$B$8,266)</f>
        <v>54424</v>
      </c>
      <c r="C271" s="42" t="n">
        <f aca="false">SUM(F271:O271)</f>
        <v>0</v>
      </c>
      <c r="D271" s="42" t="n">
        <f aca="false">ROUND(SUM($Z271:$AI271)-SUM(P270:Y270),2)</f>
        <v>0</v>
      </c>
      <c r="E271" s="55" t="n">
        <f aca="false">SUM(P271:Y271)</f>
        <v>0</v>
      </c>
      <c r="F271" s="42" t="n">
        <f aca="false">AJ271+MIN(Z271-AJ271,MAX(0,'Start Here'!$B$10-SUM($AJ271:$AS271)-SUMPRODUCT(($Z$3:$AI$3&lt;Z$3)*($Z271:$AI271-$AJ271:$AS271))))</f>
        <v>0</v>
      </c>
      <c r="G271" s="42" t="n">
        <f aca="false">AK271+MIN(AA271-AK271,MAX(0,'Start Here'!$B$10-SUM($AJ271:$AS271)-SUMPRODUCT(($Z$3:$AI$3&lt;AA$3)*($Z271:$AI271-$AJ271:$AS271))))</f>
        <v>0</v>
      </c>
      <c r="H271" s="42" t="n">
        <f aca="false">AL271+MIN(AB271-AL271,MAX(0,'Start Here'!$B$10-SUM($AJ271:$AS271)-SUMPRODUCT(($Z$3:$AI$3&lt;AB$3)*($Z271:$AI271-$AJ271:$AS271))))</f>
        <v>0</v>
      </c>
      <c r="I271" s="42" t="n">
        <f aca="false">AM271+MIN(AC271-AM271,MAX(0,'Start Here'!$B$10-SUM($AJ271:$AS271)-SUMPRODUCT(($Z$3:$AI$3&lt;AC$3)*($Z271:$AI271-$AJ271:$AS271))))</f>
        <v>0</v>
      </c>
      <c r="J271" s="42" t="n">
        <f aca="false">AN271+MIN(AD271-AN271,MAX(0,'Start Here'!$B$10-SUM($AJ271:$AS271)-SUMPRODUCT(($Z$3:$AI$3&lt;AD$3)*($Z271:$AI271-$AJ271:$AS271))))</f>
        <v>0</v>
      </c>
      <c r="K271" s="42" t="n">
        <f aca="false">AO271+MIN(AE271-AO271,MAX(0,'Start Here'!$B$10-SUM($AJ271:$AS271)-SUMPRODUCT(($Z$3:$AI$3&lt;AE$3)*($Z271:$AI271-$AJ271:$AS271))))</f>
        <v>0</v>
      </c>
      <c r="L271" s="42" t="n">
        <f aca="false">AP271+MIN(AF271-AP271,MAX(0,'Start Here'!$B$10-SUM($AJ271:$AS271)-SUMPRODUCT(($Z$3:$AI$3&lt;AF$3)*($Z271:$AI271-$AJ271:$AS271))))</f>
        <v>0</v>
      </c>
      <c r="M271" s="42" t="n">
        <f aca="false">AQ271+MIN(AG271-AQ271,MAX(0,'Start Here'!$B$10-SUM($AJ271:$AS271)-SUMPRODUCT(($Z$3:$AI$3&lt;AG$3)*($Z271:$AI271-$AJ271:$AS271))))</f>
        <v>0</v>
      </c>
      <c r="N271" s="42" t="n">
        <f aca="false">AR271+MIN(AH271-AR271,MAX(0,'Start Here'!$B$10-SUM($AJ271:$AS271)-SUMPRODUCT(($Z$3:$AI$3&lt;AH$3)*($Z271:$AI271-$AJ271:$AS271))))</f>
        <v>0</v>
      </c>
      <c r="O271" s="42" t="n">
        <f aca="false">AS271+MIN(AI271-AS271,MAX(0,'Start Here'!$B$10-SUM($AJ271:$AS271)-SUMPRODUCT(($Z$3:$AI$3&lt;AI$3)*($Z271:$AI271-$AJ271:$AS271))))</f>
        <v>0</v>
      </c>
      <c r="P271" s="42" t="n">
        <f aca="false">ROUND(Z271-F271,2)</f>
        <v>0</v>
      </c>
      <c r="Q271" s="42" t="n">
        <f aca="false">ROUND(AA271-G271,2)</f>
        <v>0</v>
      </c>
      <c r="R271" s="42" t="n">
        <f aca="false">ROUND(AB271-H271,2)</f>
        <v>0</v>
      </c>
      <c r="S271" s="42" t="n">
        <f aca="false">ROUND(AC271-I271,2)</f>
        <v>0</v>
      </c>
      <c r="T271" s="42" t="n">
        <f aca="false">ROUND(AD271-J271,2)</f>
        <v>0</v>
      </c>
      <c r="U271" s="42" t="n">
        <f aca="false">ROUND(AE271-K271,2)</f>
        <v>0</v>
      </c>
      <c r="V271" s="42" t="n">
        <f aca="false">ROUND(AF271-L271,2)</f>
        <v>0</v>
      </c>
      <c r="W271" s="42" t="n">
        <f aca="false">ROUND(AG271-M271,2)</f>
        <v>0</v>
      </c>
      <c r="X271" s="42" t="n">
        <f aca="false">ROUND(AH271-N271,2)</f>
        <v>0</v>
      </c>
      <c r="Y271" s="42" t="n">
        <f aca="false">ROUND(AI271-O271,2)</f>
        <v>0</v>
      </c>
      <c r="Z271" s="56" t="n">
        <f aca="false">ROUND(P270*(1+N(Debts!$D$5)/12),2)</f>
        <v>0</v>
      </c>
      <c r="AA271" s="56" t="n">
        <f aca="false">ROUND(Q270*(1+N(Debts!$D$6)/12),2)</f>
        <v>0</v>
      </c>
      <c r="AB271" s="56" t="n">
        <f aca="false">ROUND(R270*(1+N(Debts!$D$7)/12),2)</f>
        <v>0</v>
      </c>
      <c r="AC271" s="56" t="n">
        <f aca="false">ROUND(S270*(1+N(Debts!$D$8)/12),2)</f>
        <v>0</v>
      </c>
      <c r="AD271" s="56" t="n">
        <f aca="false">ROUND(T270*(1+N(Debts!$D$9)/12),2)</f>
        <v>0</v>
      </c>
      <c r="AE271" s="56" t="n">
        <f aca="false">ROUND(U270*(1+N(Debts!$D$10)/12),2)</f>
        <v>0</v>
      </c>
      <c r="AF271" s="56" t="n">
        <f aca="false">ROUND(V270*(1+N(Debts!$D$11)/12),2)</f>
        <v>0</v>
      </c>
      <c r="AG271" s="56" t="n">
        <f aca="false">ROUND(W270*(1+N(Debts!$D$12)/12),2)</f>
        <v>0</v>
      </c>
      <c r="AH271" s="56" t="n">
        <f aca="false">ROUND(X270*(1+N(Debts!$D$13)/12),2)</f>
        <v>0</v>
      </c>
      <c r="AI271" s="56" t="n">
        <f aca="false">ROUND(Y270*(1+N(Debts!$D$14)/12),2)</f>
        <v>0</v>
      </c>
      <c r="AJ271" s="56" t="n">
        <f aca="false">MIN(Z271,MAX(0,N(Debts!$E$5)))</f>
        <v>0</v>
      </c>
      <c r="AK271" s="56" t="n">
        <f aca="false">MIN(AA271,MAX(0,N(Debts!$E$6)))</f>
        <v>0</v>
      </c>
      <c r="AL271" s="56" t="n">
        <f aca="false">MIN(AB271,MAX(0,N(Debts!$E$7)))</f>
        <v>0</v>
      </c>
      <c r="AM271" s="56" t="n">
        <f aca="false">MIN(AC271,MAX(0,N(Debts!$E$8)))</f>
        <v>0</v>
      </c>
      <c r="AN271" s="56" t="n">
        <f aca="false">MIN(AD271,MAX(0,N(Debts!$E$9)))</f>
        <v>0</v>
      </c>
      <c r="AO271" s="56" t="n">
        <f aca="false">MIN(AE271,MAX(0,N(Debts!$E$10)))</f>
        <v>0</v>
      </c>
      <c r="AP271" s="56" t="n">
        <f aca="false">MIN(AF271,MAX(0,N(Debts!$E$11)))</f>
        <v>0</v>
      </c>
      <c r="AQ271" s="56" t="n">
        <f aca="false">MIN(AG271,MAX(0,N(Debts!$E$12)))</f>
        <v>0</v>
      </c>
      <c r="AR271" s="56" t="n">
        <f aca="false">MIN(AH271,MAX(0,N(Debts!$E$13)))</f>
        <v>0</v>
      </c>
      <c r="AS271" s="56" t="n">
        <f aca="false">MIN(AI271,MAX(0,N(Debts!$E$14)))</f>
        <v>0</v>
      </c>
    </row>
    <row r="272" customFormat="false" ht="15" hidden="false" customHeight="false" outlineLevel="0" collapsed="false">
      <c r="A272" s="53" t="n">
        <v>268</v>
      </c>
      <c r="B272" s="54" t="n">
        <f aca="false">EDATE('Start Here'!$B$8,267)</f>
        <v>54455</v>
      </c>
      <c r="C272" s="42" t="n">
        <f aca="false">SUM(F272:O272)</f>
        <v>0</v>
      </c>
      <c r="D272" s="42" t="n">
        <f aca="false">ROUND(SUM($Z272:$AI272)-SUM(P271:Y271),2)</f>
        <v>0</v>
      </c>
      <c r="E272" s="55" t="n">
        <f aca="false">SUM(P272:Y272)</f>
        <v>0</v>
      </c>
      <c r="F272" s="42" t="n">
        <f aca="false">AJ272+MIN(Z272-AJ272,MAX(0,'Start Here'!$B$10-SUM($AJ272:$AS272)-SUMPRODUCT(($Z$3:$AI$3&lt;Z$3)*($Z272:$AI272-$AJ272:$AS272))))</f>
        <v>0</v>
      </c>
      <c r="G272" s="42" t="n">
        <f aca="false">AK272+MIN(AA272-AK272,MAX(0,'Start Here'!$B$10-SUM($AJ272:$AS272)-SUMPRODUCT(($Z$3:$AI$3&lt;AA$3)*($Z272:$AI272-$AJ272:$AS272))))</f>
        <v>0</v>
      </c>
      <c r="H272" s="42" t="n">
        <f aca="false">AL272+MIN(AB272-AL272,MAX(0,'Start Here'!$B$10-SUM($AJ272:$AS272)-SUMPRODUCT(($Z$3:$AI$3&lt;AB$3)*($Z272:$AI272-$AJ272:$AS272))))</f>
        <v>0</v>
      </c>
      <c r="I272" s="42" t="n">
        <f aca="false">AM272+MIN(AC272-AM272,MAX(0,'Start Here'!$B$10-SUM($AJ272:$AS272)-SUMPRODUCT(($Z$3:$AI$3&lt;AC$3)*($Z272:$AI272-$AJ272:$AS272))))</f>
        <v>0</v>
      </c>
      <c r="J272" s="42" t="n">
        <f aca="false">AN272+MIN(AD272-AN272,MAX(0,'Start Here'!$B$10-SUM($AJ272:$AS272)-SUMPRODUCT(($Z$3:$AI$3&lt;AD$3)*($Z272:$AI272-$AJ272:$AS272))))</f>
        <v>0</v>
      </c>
      <c r="K272" s="42" t="n">
        <f aca="false">AO272+MIN(AE272-AO272,MAX(0,'Start Here'!$B$10-SUM($AJ272:$AS272)-SUMPRODUCT(($Z$3:$AI$3&lt;AE$3)*($Z272:$AI272-$AJ272:$AS272))))</f>
        <v>0</v>
      </c>
      <c r="L272" s="42" t="n">
        <f aca="false">AP272+MIN(AF272-AP272,MAX(0,'Start Here'!$B$10-SUM($AJ272:$AS272)-SUMPRODUCT(($Z$3:$AI$3&lt;AF$3)*($Z272:$AI272-$AJ272:$AS272))))</f>
        <v>0</v>
      </c>
      <c r="M272" s="42" t="n">
        <f aca="false">AQ272+MIN(AG272-AQ272,MAX(0,'Start Here'!$B$10-SUM($AJ272:$AS272)-SUMPRODUCT(($Z$3:$AI$3&lt;AG$3)*($Z272:$AI272-$AJ272:$AS272))))</f>
        <v>0</v>
      </c>
      <c r="N272" s="42" t="n">
        <f aca="false">AR272+MIN(AH272-AR272,MAX(0,'Start Here'!$B$10-SUM($AJ272:$AS272)-SUMPRODUCT(($Z$3:$AI$3&lt;AH$3)*($Z272:$AI272-$AJ272:$AS272))))</f>
        <v>0</v>
      </c>
      <c r="O272" s="42" t="n">
        <f aca="false">AS272+MIN(AI272-AS272,MAX(0,'Start Here'!$B$10-SUM($AJ272:$AS272)-SUMPRODUCT(($Z$3:$AI$3&lt;AI$3)*($Z272:$AI272-$AJ272:$AS272))))</f>
        <v>0</v>
      </c>
      <c r="P272" s="42" t="n">
        <f aca="false">ROUND(Z272-F272,2)</f>
        <v>0</v>
      </c>
      <c r="Q272" s="42" t="n">
        <f aca="false">ROUND(AA272-G272,2)</f>
        <v>0</v>
      </c>
      <c r="R272" s="42" t="n">
        <f aca="false">ROUND(AB272-H272,2)</f>
        <v>0</v>
      </c>
      <c r="S272" s="42" t="n">
        <f aca="false">ROUND(AC272-I272,2)</f>
        <v>0</v>
      </c>
      <c r="T272" s="42" t="n">
        <f aca="false">ROUND(AD272-J272,2)</f>
        <v>0</v>
      </c>
      <c r="U272" s="42" t="n">
        <f aca="false">ROUND(AE272-K272,2)</f>
        <v>0</v>
      </c>
      <c r="V272" s="42" t="n">
        <f aca="false">ROUND(AF272-L272,2)</f>
        <v>0</v>
      </c>
      <c r="W272" s="42" t="n">
        <f aca="false">ROUND(AG272-M272,2)</f>
        <v>0</v>
      </c>
      <c r="X272" s="42" t="n">
        <f aca="false">ROUND(AH272-N272,2)</f>
        <v>0</v>
      </c>
      <c r="Y272" s="42" t="n">
        <f aca="false">ROUND(AI272-O272,2)</f>
        <v>0</v>
      </c>
      <c r="Z272" s="56" t="n">
        <f aca="false">ROUND(P271*(1+N(Debts!$D$5)/12),2)</f>
        <v>0</v>
      </c>
      <c r="AA272" s="56" t="n">
        <f aca="false">ROUND(Q271*(1+N(Debts!$D$6)/12),2)</f>
        <v>0</v>
      </c>
      <c r="AB272" s="56" t="n">
        <f aca="false">ROUND(R271*(1+N(Debts!$D$7)/12),2)</f>
        <v>0</v>
      </c>
      <c r="AC272" s="56" t="n">
        <f aca="false">ROUND(S271*(1+N(Debts!$D$8)/12),2)</f>
        <v>0</v>
      </c>
      <c r="AD272" s="56" t="n">
        <f aca="false">ROUND(T271*(1+N(Debts!$D$9)/12),2)</f>
        <v>0</v>
      </c>
      <c r="AE272" s="56" t="n">
        <f aca="false">ROUND(U271*(1+N(Debts!$D$10)/12),2)</f>
        <v>0</v>
      </c>
      <c r="AF272" s="56" t="n">
        <f aca="false">ROUND(V271*(1+N(Debts!$D$11)/12),2)</f>
        <v>0</v>
      </c>
      <c r="AG272" s="56" t="n">
        <f aca="false">ROUND(W271*(1+N(Debts!$D$12)/12),2)</f>
        <v>0</v>
      </c>
      <c r="AH272" s="56" t="n">
        <f aca="false">ROUND(X271*(1+N(Debts!$D$13)/12),2)</f>
        <v>0</v>
      </c>
      <c r="AI272" s="56" t="n">
        <f aca="false">ROUND(Y271*(1+N(Debts!$D$14)/12),2)</f>
        <v>0</v>
      </c>
      <c r="AJ272" s="56" t="n">
        <f aca="false">MIN(Z272,MAX(0,N(Debts!$E$5)))</f>
        <v>0</v>
      </c>
      <c r="AK272" s="56" t="n">
        <f aca="false">MIN(AA272,MAX(0,N(Debts!$E$6)))</f>
        <v>0</v>
      </c>
      <c r="AL272" s="56" t="n">
        <f aca="false">MIN(AB272,MAX(0,N(Debts!$E$7)))</f>
        <v>0</v>
      </c>
      <c r="AM272" s="56" t="n">
        <f aca="false">MIN(AC272,MAX(0,N(Debts!$E$8)))</f>
        <v>0</v>
      </c>
      <c r="AN272" s="56" t="n">
        <f aca="false">MIN(AD272,MAX(0,N(Debts!$E$9)))</f>
        <v>0</v>
      </c>
      <c r="AO272" s="56" t="n">
        <f aca="false">MIN(AE272,MAX(0,N(Debts!$E$10)))</f>
        <v>0</v>
      </c>
      <c r="AP272" s="56" t="n">
        <f aca="false">MIN(AF272,MAX(0,N(Debts!$E$11)))</f>
        <v>0</v>
      </c>
      <c r="AQ272" s="56" t="n">
        <f aca="false">MIN(AG272,MAX(0,N(Debts!$E$12)))</f>
        <v>0</v>
      </c>
      <c r="AR272" s="56" t="n">
        <f aca="false">MIN(AH272,MAX(0,N(Debts!$E$13)))</f>
        <v>0</v>
      </c>
      <c r="AS272" s="56" t="n">
        <f aca="false">MIN(AI272,MAX(0,N(Debts!$E$14)))</f>
        <v>0</v>
      </c>
    </row>
    <row r="273" customFormat="false" ht="15" hidden="false" customHeight="false" outlineLevel="0" collapsed="false">
      <c r="A273" s="53" t="n">
        <v>269</v>
      </c>
      <c r="B273" s="54" t="n">
        <f aca="false">EDATE('Start Here'!$B$8,268)</f>
        <v>54483</v>
      </c>
      <c r="C273" s="42" t="n">
        <f aca="false">SUM(F273:O273)</f>
        <v>0</v>
      </c>
      <c r="D273" s="42" t="n">
        <f aca="false">ROUND(SUM($Z273:$AI273)-SUM(P272:Y272),2)</f>
        <v>0</v>
      </c>
      <c r="E273" s="55" t="n">
        <f aca="false">SUM(P273:Y273)</f>
        <v>0</v>
      </c>
      <c r="F273" s="42" t="n">
        <f aca="false">AJ273+MIN(Z273-AJ273,MAX(0,'Start Here'!$B$10-SUM($AJ273:$AS273)-SUMPRODUCT(($Z$3:$AI$3&lt;Z$3)*($Z273:$AI273-$AJ273:$AS273))))</f>
        <v>0</v>
      </c>
      <c r="G273" s="42" t="n">
        <f aca="false">AK273+MIN(AA273-AK273,MAX(0,'Start Here'!$B$10-SUM($AJ273:$AS273)-SUMPRODUCT(($Z$3:$AI$3&lt;AA$3)*($Z273:$AI273-$AJ273:$AS273))))</f>
        <v>0</v>
      </c>
      <c r="H273" s="42" t="n">
        <f aca="false">AL273+MIN(AB273-AL273,MAX(0,'Start Here'!$B$10-SUM($AJ273:$AS273)-SUMPRODUCT(($Z$3:$AI$3&lt;AB$3)*($Z273:$AI273-$AJ273:$AS273))))</f>
        <v>0</v>
      </c>
      <c r="I273" s="42" t="n">
        <f aca="false">AM273+MIN(AC273-AM273,MAX(0,'Start Here'!$B$10-SUM($AJ273:$AS273)-SUMPRODUCT(($Z$3:$AI$3&lt;AC$3)*($Z273:$AI273-$AJ273:$AS273))))</f>
        <v>0</v>
      </c>
      <c r="J273" s="42" t="n">
        <f aca="false">AN273+MIN(AD273-AN273,MAX(0,'Start Here'!$B$10-SUM($AJ273:$AS273)-SUMPRODUCT(($Z$3:$AI$3&lt;AD$3)*($Z273:$AI273-$AJ273:$AS273))))</f>
        <v>0</v>
      </c>
      <c r="K273" s="42" t="n">
        <f aca="false">AO273+MIN(AE273-AO273,MAX(0,'Start Here'!$B$10-SUM($AJ273:$AS273)-SUMPRODUCT(($Z$3:$AI$3&lt;AE$3)*($Z273:$AI273-$AJ273:$AS273))))</f>
        <v>0</v>
      </c>
      <c r="L273" s="42" t="n">
        <f aca="false">AP273+MIN(AF273-AP273,MAX(0,'Start Here'!$B$10-SUM($AJ273:$AS273)-SUMPRODUCT(($Z$3:$AI$3&lt;AF$3)*($Z273:$AI273-$AJ273:$AS273))))</f>
        <v>0</v>
      </c>
      <c r="M273" s="42" t="n">
        <f aca="false">AQ273+MIN(AG273-AQ273,MAX(0,'Start Here'!$B$10-SUM($AJ273:$AS273)-SUMPRODUCT(($Z$3:$AI$3&lt;AG$3)*($Z273:$AI273-$AJ273:$AS273))))</f>
        <v>0</v>
      </c>
      <c r="N273" s="42" t="n">
        <f aca="false">AR273+MIN(AH273-AR273,MAX(0,'Start Here'!$B$10-SUM($AJ273:$AS273)-SUMPRODUCT(($Z$3:$AI$3&lt;AH$3)*($Z273:$AI273-$AJ273:$AS273))))</f>
        <v>0</v>
      </c>
      <c r="O273" s="42" t="n">
        <f aca="false">AS273+MIN(AI273-AS273,MAX(0,'Start Here'!$B$10-SUM($AJ273:$AS273)-SUMPRODUCT(($Z$3:$AI$3&lt;AI$3)*($Z273:$AI273-$AJ273:$AS273))))</f>
        <v>0</v>
      </c>
      <c r="P273" s="42" t="n">
        <f aca="false">ROUND(Z273-F273,2)</f>
        <v>0</v>
      </c>
      <c r="Q273" s="42" t="n">
        <f aca="false">ROUND(AA273-G273,2)</f>
        <v>0</v>
      </c>
      <c r="R273" s="42" t="n">
        <f aca="false">ROUND(AB273-H273,2)</f>
        <v>0</v>
      </c>
      <c r="S273" s="42" t="n">
        <f aca="false">ROUND(AC273-I273,2)</f>
        <v>0</v>
      </c>
      <c r="T273" s="42" t="n">
        <f aca="false">ROUND(AD273-J273,2)</f>
        <v>0</v>
      </c>
      <c r="U273" s="42" t="n">
        <f aca="false">ROUND(AE273-K273,2)</f>
        <v>0</v>
      </c>
      <c r="V273" s="42" t="n">
        <f aca="false">ROUND(AF273-L273,2)</f>
        <v>0</v>
      </c>
      <c r="W273" s="42" t="n">
        <f aca="false">ROUND(AG273-M273,2)</f>
        <v>0</v>
      </c>
      <c r="X273" s="42" t="n">
        <f aca="false">ROUND(AH273-N273,2)</f>
        <v>0</v>
      </c>
      <c r="Y273" s="42" t="n">
        <f aca="false">ROUND(AI273-O273,2)</f>
        <v>0</v>
      </c>
      <c r="Z273" s="56" t="n">
        <f aca="false">ROUND(P272*(1+N(Debts!$D$5)/12),2)</f>
        <v>0</v>
      </c>
      <c r="AA273" s="56" t="n">
        <f aca="false">ROUND(Q272*(1+N(Debts!$D$6)/12),2)</f>
        <v>0</v>
      </c>
      <c r="AB273" s="56" t="n">
        <f aca="false">ROUND(R272*(1+N(Debts!$D$7)/12),2)</f>
        <v>0</v>
      </c>
      <c r="AC273" s="56" t="n">
        <f aca="false">ROUND(S272*(1+N(Debts!$D$8)/12),2)</f>
        <v>0</v>
      </c>
      <c r="AD273" s="56" t="n">
        <f aca="false">ROUND(T272*(1+N(Debts!$D$9)/12),2)</f>
        <v>0</v>
      </c>
      <c r="AE273" s="56" t="n">
        <f aca="false">ROUND(U272*(1+N(Debts!$D$10)/12),2)</f>
        <v>0</v>
      </c>
      <c r="AF273" s="56" t="n">
        <f aca="false">ROUND(V272*(1+N(Debts!$D$11)/12),2)</f>
        <v>0</v>
      </c>
      <c r="AG273" s="56" t="n">
        <f aca="false">ROUND(W272*(1+N(Debts!$D$12)/12),2)</f>
        <v>0</v>
      </c>
      <c r="AH273" s="56" t="n">
        <f aca="false">ROUND(X272*(1+N(Debts!$D$13)/12),2)</f>
        <v>0</v>
      </c>
      <c r="AI273" s="56" t="n">
        <f aca="false">ROUND(Y272*(1+N(Debts!$D$14)/12),2)</f>
        <v>0</v>
      </c>
      <c r="AJ273" s="56" t="n">
        <f aca="false">MIN(Z273,MAX(0,N(Debts!$E$5)))</f>
        <v>0</v>
      </c>
      <c r="AK273" s="56" t="n">
        <f aca="false">MIN(AA273,MAX(0,N(Debts!$E$6)))</f>
        <v>0</v>
      </c>
      <c r="AL273" s="56" t="n">
        <f aca="false">MIN(AB273,MAX(0,N(Debts!$E$7)))</f>
        <v>0</v>
      </c>
      <c r="AM273" s="56" t="n">
        <f aca="false">MIN(AC273,MAX(0,N(Debts!$E$8)))</f>
        <v>0</v>
      </c>
      <c r="AN273" s="56" t="n">
        <f aca="false">MIN(AD273,MAX(0,N(Debts!$E$9)))</f>
        <v>0</v>
      </c>
      <c r="AO273" s="56" t="n">
        <f aca="false">MIN(AE273,MAX(0,N(Debts!$E$10)))</f>
        <v>0</v>
      </c>
      <c r="AP273" s="56" t="n">
        <f aca="false">MIN(AF273,MAX(0,N(Debts!$E$11)))</f>
        <v>0</v>
      </c>
      <c r="AQ273" s="56" t="n">
        <f aca="false">MIN(AG273,MAX(0,N(Debts!$E$12)))</f>
        <v>0</v>
      </c>
      <c r="AR273" s="56" t="n">
        <f aca="false">MIN(AH273,MAX(0,N(Debts!$E$13)))</f>
        <v>0</v>
      </c>
      <c r="AS273" s="56" t="n">
        <f aca="false">MIN(AI273,MAX(0,N(Debts!$E$14)))</f>
        <v>0</v>
      </c>
    </row>
    <row r="274" customFormat="false" ht="15" hidden="false" customHeight="false" outlineLevel="0" collapsed="false">
      <c r="A274" s="53" t="n">
        <v>270</v>
      </c>
      <c r="B274" s="54" t="n">
        <f aca="false">EDATE('Start Here'!$B$8,269)</f>
        <v>54514</v>
      </c>
      <c r="C274" s="42" t="n">
        <f aca="false">SUM(F274:O274)</f>
        <v>0</v>
      </c>
      <c r="D274" s="42" t="n">
        <f aca="false">ROUND(SUM($Z274:$AI274)-SUM(P273:Y273),2)</f>
        <v>0</v>
      </c>
      <c r="E274" s="55" t="n">
        <f aca="false">SUM(P274:Y274)</f>
        <v>0</v>
      </c>
      <c r="F274" s="42" t="n">
        <f aca="false">AJ274+MIN(Z274-AJ274,MAX(0,'Start Here'!$B$10-SUM($AJ274:$AS274)-SUMPRODUCT(($Z$3:$AI$3&lt;Z$3)*($Z274:$AI274-$AJ274:$AS274))))</f>
        <v>0</v>
      </c>
      <c r="G274" s="42" t="n">
        <f aca="false">AK274+MIN(AA274-AK274,MAX(0,'Start Here'!$B$10-SUM($AJ274:$AS274)-SUMPRODUCT(($Z$3:$AI$3&lt;AA$3)*($Z274:$AI274-$AJ274:$AS274))))</f>
        <v>0</v>
      </c>
      <c r="H274" s="42" t="n">
        <f aca="false">AL274+MIN(AB274-AL274,MAX(0,'Start Here'!$B$10-SUM($AJ274:$AS274)-SUMPRODUCT(($Z$3:$AI$3&lt;AB$3)*($Z274:$AI274-$AJ274:$AS274))))</f>
        <v>0</v>
      </c>
      <c r="I274" s="42" t="n">
        <f aca="false">AM274+MIN(AC274-AM274,MAX(0,'Start Here'!$B$10-SUM($AJ274:$AS274)-SUMPRODUCT(($Z$3:$AI$3&lt;AC$3)*($Z274:$AI274-$AJ274:$AS274))))</f>
        <v>0</v>
      </c>
      <c r="J274" s="42" t="n">
        <f aca="false">AN274+MIN(AD274-AN274,MAX(0,'Start Here'!$B$10-SUM($AJ274:$AS274)-SUMPRODUCT(($Z$3:$AI$3&lt;AD$3)*($Z274:$AI274-$AJ274:$AS274))))</f>
        <v>0</v>
      </c>
      <c r="K274" s="42" t="n">
        <f aca="false">AO274+MIN(AE274-AO274,MAX(0,'Start Here'!$B$10-SUM($AJ274:$AS274)-SUMPRODUCT(($Z$3:$AI$3&lt;AE$3)*($Z274:$AI274-$AJ274:$AS274))))</f>
        <v>0</v>
      </c>
      <c r="L274" s="42" t="n">
        <f aca="false">AP274+MIN(AF274-AP274,MAX(0,'Start Here'!$B$10-SUM($AJ274:$AS274)-SUMPRODUCT(($Z$3:$AI$3&lt;AF$3)*($Z274:$AI274-$AJ274:$AS274))))</f>
        <v>0</v>
      </c>
      <c r="M274" s="42" t="n">
        <f aca="false">AQ274+MIN(AG274-AQ274,MAX(0,'Start Here'!$B$10-SUM($AJ274:$AS274)-SUMPRODUCT(($Z$3:$AI$3&lt;AG$3)*($Z274:$AI274-$AJ274:$AS274))))</f>
        <v>0</v>
      </c>
      <c r="N274" s="42" t="n">
        <f aca="false">AR274+MIN(AH274-AR274,MAX(0,'Start Here'!$B$10-SUM($AJ274:$AS274)-SUMPRODUCT(($Z$3:$AI$3&lt;AH$3)*($Z274:$AI274-$AJ274:$AS274))))</f>
        <v>0</v>
      </c>
      <c r="O274" s="42" t="n">
        <f aca="false">AS274+MIN(AI274-AS274,MAX(0,'Start Here'!$B$10-SUM($AJ274:$AS274)-SUMPRODUCT(($Z$3:$AI$3&lt;AI$3)*($Z274:$AI274-$AJ274:$AS274))))</f>
        <v>0</v>
      </c>
      <c r="P274" s="42" t="n">
        <f aca="false">ROUND(Z274-F274,2)</f>
        <v>0</v>
      </c>
      <c r="Q274" s="42" t="n">
        <f aca="false">ROUND(AA274-G274,2)</f>
        <v>0</v>
      </c>
      <c r="R274" s="42" t="n">
        <f aca="false">ROUND(AB274-H274,2)</f>
        <v>0</v>
      </c>
      <c r="S274" s="42" t="n">
        <f aca="false">ROUND(AC274-I274,2)</f>
        <v>0</v>
      </c>
      <c r="T274" s="42" t="n">
        <f aca="false">ROUND(AD274-J274,2)</f>
        <v>0</v>
      </c>
      <c r="U274" s="42" t="n">
        <f aca="false">ROUND(AE274-K274,2)</f>
        <v>0</v>
      </c>
      <c r="V274" s="42" t="n">
        <f aca="false">ROUND(AF274-L274,2)</f>
        <v>0</v>
      </c>
      <c r="W274" s="42" t="n">
        <f aca="false">ROUND(AG274-M274,2)</f>
        <v>0</v>
      </c>
      <c r="X274" s="42" t="n">
        <f aca="false">ROUND(AH274-N274,2)</f>
        <v>0</v>
      </c>
      <c r="Y274" s="42" t="n">
        <f aca="false">ROUND(AI274-O274,2)</f>
        <v>0</v>
      </c>
      <c r="Z274" s="56" t="n">
        <f aca="false">ROUND(P273*(1+N(Debts!$D$5)/12),2)</f>
        <v>0</v>
      </c>
      <c r="AA274" s="56" t="n">
        <f aca="false">ROUND(Q273*(1+N(Debts!$D$6)/12),2)</f>
        <v>0</v>
      </c>
      <c r="AB274" s="56" t="n">
        <f aca="false">ROUND(R273*(1+N(Debts!$D$7)/12),2)</f>
        <v>0</v>
      </c>
      <c r="AC274" s="56" t="n">
        <f aca="false">ROUND(S273*(1+N(Debts!$D$8)/12),2)</f>
        <v>0</v>
      </c>
      <c r="AD274" s="56" t="n">
        <f aca="false">ROUND(T273*(1+N(Debts!$D$9)/12),2)</f>
        <v>0</v>
      </c>
      <c r="AE274" s="56" t="n">
        <f aca="false">ROUND(U273*(1+N(Debts!$D$10)/12),2)</f>
        <v>0</v>
      </c>
      <c r="AF274" s="56" t="n">
        <f aca="false">ROUND(V273*(1+N(Debts!$D$11)/12),2)</f>
        <v>0</v>
      </c>
      <c r="AG274" s="56" t="n">
        <f aca="false">ROUND(W273*(1+N(Debts!$D$12)/12),2)</f>
        <v>0</v>
      </c>
      <c r="AH274" s="56" t="n">
        <f aca="false">ROUND(X273*(1+N(Debts!$D$13)/12),2)</f>
        <v>0</v>
      </c>
      <c r="AI274" s="56" t="n">
        <f aca="false">ROUND(Y273*(1+N(Debts!$D$14)/12),2)</f>
        <v>0</v>
      </c>
      <c r="AJ274" s="56" t="n">
        <f aca="false">MIN(Z274,MAX(0,N(Debts!$E$5)))</f>
        <v>0</v>
      </c>
      <c r="AK274" s="56" t="n">
        <f aca="false">MIN(AA274,MAX(0,N(Debts!$E$6)))</f>
        <v>0</v>
      </c>
      <c r="AL274" s="56" t="n">
        <f aca="false">MIN(AB274,MAX(0,N(Debts!$E$7)))</f>
        <v>0</v>
      </c>
      <c r="AM274" s="56" t="n">
        <f aca="false">MIN(AC274,MAX(0,N(Debts!$E$8)))</f>
        <v>0</v>
      </c>
      <c r="AN274" s="56" t="n">
        <f aca="false">MIN(AD274,MAX(0,N(Debts!$E$9)))</f>
        <v>0</v>
      </c>
      <c r="AO274" s="56" t="n">
        <f aca="false">MIN(AE274,MAX(0,N(Debts!$E$10)))</f>
        <v>0</v>
      </c>
      <c r="AP274" s="56" t="n">
        <f aca="false">MIN(AF274,MAX(0,N(Debts!$E$11)))</f>
        <v>0</v>
      </c>
      <c r="AQ274" s="56" t="n">
        <f aca="false">MIN(AG274,MAX(0,N(Debts!$E$12)))</f>
        <v>0</v>
      </c>
      <c r="AR274" s="56" t="n">
        <f aca="false">MIN(AH274,MAX(0,N(Debts!$E$13)))</f>
        <v>0</v>
      </c>
      <c r="AS274" s="56" t="n">
        <f aca="false">MIN(AI274,MAX(0,N(Debts!$E$14)))</f>
        <v>0</v>
      </c>
    </row>
    <row r="275" customFormat="false" ht="15" hidden="false" customHeight="false" outlineLevel="0" collapsed="false">
      <c r="A275" s="53" t="n">
        <v>271</v>
      </c>
      <c r="B275" s="54" t="n">
        <f aca="false">EDATE('Start Here'!$B$8,270)</f>
        <v>54544</v>
      </c>
      <c r="C275" s="42" t="n">
        <f aca="false">SUM(F275:O275)</f>
        <v>0</v>
      </c>
      <c r="D275" s="42" t="n">
        <f aca="false">ROUND(SUM($Z275:$AI275)-SUM(P274:Y274),2)</f>
        <v>0</v>
      </c>
      <c r="E275" s="55" t="n">
        <f aca="false">SUM(P275:Y275)</f>
        <v>0</v>
      </c>
      <c r="F275" s="42" t="n">
        <f aca="false">AJ275+MIN(Z275-AJ275,MAX(0,'Start Here'!$B$10-SUM($AJ275:$AS275)-SUMPRODUCT(($Z$3:$AI$3&lt;Z$3)*($Z275:$AI275-$AJ275:$AS275))))</f>
        <v>0</v>
      </c>
      <c r="G275" s="42" t="n">
        <f aca="false">AK275+MIN(AA275-AK275,MAX(0,'Start Here'!$B$10-SUM($AJ275:$AS275)-SUMPRODUCT(($Z$3:$AI$3&lt;AA$3)*($Z275:$AI275-$AJ275:$AS275))))</f>
        <v>0</v>
      </c>
      <c r="H275" s="42" t="n">
        <f aca="false">AL275+MIN(AB275-AL275,MAX(0,'Start Here'!$B$10-SUM($AJ275:$AS275)-SUMPRODUCT(($Z$3:$AI$3&lt;AB$3)*($Z275:$AI275-$AJ275:$AS275))))</f>
        <v>0</v>
      </c>
      <c r="I275" s="42" t="n">
        <f aca="false">AM275+MIN(AC275-AM275,MAX(0,'Start Here'!$B$10-SUM($AJ275:$AS275)-SUMPRODUCT(($Z$3:$AI$3&lt;AC$3)*($Z275:$AI275-$AJ275:$AS275))))</f>
        <v>0</v>
      </c>
      <c r="J275" s="42" t="n">
        <f aca="false">AN275+MIN(AD275-AN275,MAX(0,'Start Here'!$B$10-SUM($AJ275:$AS275)-SUMPRODUCT(($Z$3:$AI$3&lt;AD$3)*($Z275:$AI275-$AJ275:$AS275))))</f>
        <v>0</v>
      </c>
      <c r="K275" s="42" t="n">
        <f aca="false">AO275+MIN(AE275-AO275,MAX(0,'Start Here'!$B$10-SUM($AJ275:$AS275)-SUMPRODUCT(($Z$3:$AI$3&lt;AE$3)*($Z275:$AI275-$AJ275:$AS275))))</f>
        <v>0</v>
      </c>
      <c r="L275" s="42" t="n">
        <f aca="false">AP275+MIN(AF275-AP275,MAX(0,'Start Here'!$B$10-SUM($AJ275:$AS275)-SUMPRODUCT(($Z$3:$AI$3&lt;AF$3)*($Z275:$AI275-$AJ275:$AS275))))</f>
        <v>0</v>
      </c>
      <c r="M275" s="42" t="n">
        <f aca="false">AQ275+MIN(AG275-AQ275,MAX(0,'Start Here'!$B$10-SUM($AJ275:$AS275)-SUMPRODUCT(($Z$3:$AI$3&lt;AG$3)*($Z275:$AI275-$AJ275:$AS275))))</f>
        <v>0</v>
      </c>
      <c r="N275" s="42" t="n">
        <f aca="false">AR275+MIN(AH275-AR275,MAX(0,'Start Here'!$B$10-SUM($AJ275:$AS275)-SUMPRODUCT(($Z$3:$AI$3&lt;AH$3)*($Z275:$AI275-$AJ275:$AS275))))</f>
        <v>0</v>
      </c>
      <c r="O275" s="42" t="n">
        <f aca="false">AS275+MIN(AI275-AS275,MAX(0,'Start Here'!$B$10-SUM($AJ275:$AS275)-SUMPRODUCT(($Z$3:$AI$3&lt;AI$3)*($Z275:$AI275-$AJ275:$AS275))))</f>
        <v>0</v>
      </c>
      <c r="P275" s="42" t="n">
        <f aca="false">ROUND(Z275-F275,2)</f>
        <v>0</v>
      </c>
      <c r="Q275" s="42" t="n">
        <f aca="false">ROUND(AA275-G275,2)</f>
        <v>0</v>
      </c>
      <c r="R275" s="42" t="n">
        <f aca="false">ROUND(AB275-H275,2)</f>
        <v>0</v>
      </c>
      <c r="S275" s="42" t="n">
        <f aca="false">ROUND(AC275-I275,2)</f>
        <v>0</v>
      </c>
      <c r="T275" s="42" t="n">
        <f aca="false">ROUND(AD275-J275,2)</f>
        <v>0</v>
      </c>
      <c r="U275" s="42" t="n">
        <f aca="false">ROUND(AE275-K275,2)</f>
        <v>0</v>
      </c>
      <c r="V275" s="42" t="n">
        <f aca="false">ROUND(AF275-L275,2)</f>
        <v>0</v>
      </c>
      <c r="W275" s="42" t="n">
        <f aca="false">ROUND(AG275-M275,2)</f>
        <v>0</v>
      </c>
      <c r="X275" s="42" t="n">
        <f aca="false">ROUND(AH275-N275,2)</f>
        <v>0</v>
      </c>
      <c r="Y275" s="42" t="n">
        <f aca="false">ROUND(AI275-O275,2)</f>
        <v>0</v>
      </c>
      <c r="Z275" s="56" t="n">
        <f aca="false">ROUND(P274*(1+N(Debts!$D$5)/12),2)</f>
        <v>0</v>
      </c>
      <c r="AA275" s="56" t="n">
        <f aca="false">ROUND(Q274*(1+N(Debts!$D$6)/12),2)</f>
        <v>0</v>
      </c>
      <c r="AB275" s="56" t="n">
        <f aca="false">ROUND(R274*(1+N(Debts!$D$7)/12),2)</f>
        <v>0</v>
      </c>
      <c r="AC275" s="56" t="n">
        <f aca="false">ROUND(S274*(1+N(Debts!$D$8)/12),2)</f>
        <v>0</v>
      </c>
      <c r="AD275" s="56" t="n">
        <f aca="false">ROUND(T274*(1+N(Debts!$D$9)/12),2)</f>
        <v>0</v>
      </c>
      <c r="AE275" s="56" t="n">
        <f aca="false">ROUND(U274*(1+N(Debts!$D$10)/12),2)</f>
        <v>0</v>
      </c>
      <c r="AF275" s="56" t="n">
        <f aca="false">ROUND(V274*(1+N(Debts!$D$11)/12),2)</f>
        <v>0</v>
      </c>
      <c r="AG275" s="56" t="n">
        <f aca="false">ROUND(W274*(1+N(Debts!$D$12)/12),2)</f>
        <v>0</v>
      </c>
      <c r="AH275" s="56" t="n">
        <f aca="false">ROUND(X274*(1+N(Debts!$D$13)/12),2)</f>
        <v>0</v>
      </c>
      <c r="AI275" s="56" t="n">
        <f aca="false">ROUND(Y274*(1+N(Debts!$D$14)/12),2)</f>
        <v>0</v>
      </c>
      <c r="AJ275" s="56" t="n">
        <f aca="false">MIN(Z275,MAX(0,N(Debts!$E$5)))</f>
        <v>0</v>
      </c>
      <c r="AK275" s="56" t="n">
        <f aca="false">MIN(AA275,MAX(0,N(Debts!$E$6)))</f>
        <v>0</v>
      </c>
      <c r="AL275" s="56" t="n">
        <f aca="false">MIN(AB275,MAX(0,N(Debts!$E$7)))</f>
        <v>0</v>
      </c>
      <c r="AM275" s="56" t="n">
        <f aca="false">MIN(AC275,MAX(0,N(Debts!$E$8)))</f>
        <v>0</v>
      </c>
      <c r="AN275" s="56" t="n">
        <f aca="false">MIN(AD275,MAX(0,N(Debts!$E$9)))</f>
        <v>0</v>
      </c>
      <c r="AO275" s="56" t="n">
        <f aca="false">MIN(AE275,MAX(0,N(Debts!$E$10)))</f>
        <v>0</v>
      </c>
      <c r="AP275" s="56" t="n">
        <f aca="false">MIN(AF275,MAX(0,N(Debts!$E$11)))</f>
        <v>0</v>
      </c>
      <c r="AQ275" s="56" t="n">
        <f aca="false">MIN(AG275,MAX(0,N(Debts!$E$12)))</f>
        <v>0</v>
      </c>
      <c r="AR275" s="56" t="n">
        <f aca="false">MIN(AH275,MAX(0,N(Debts!$E$13)))</f>
        <v>0</v>
      </c>
      <c r="AS275" s="56" t="n">
        <f aca="false">MIN(AI275,MAX(0,N(Debts!$E$14)))</f>
        <v>0</v>
      </c>
    </row>
    <row r="276" customFormat="false" ht="15" hidden="false" customHeight="false" outlineLevel="0" collapsed="false">
      <c r="A276" s="53" t="n">
        <v>272</v>
      </c>
      <c r="B276" s="54" t="n">
        <f aca="false">EDATE('Start Here'!$B$8,271)</f>
        <v>54575</v>
      </c>
      <c r="C276" s="42" t="n">
        <f aca="false">SUM(F276:O276)</f>
        <v>0</v>
      </c>
      <c r="D276" s="42" t="n">
        <f aca="false">ROUND(SUM($Z276:$AI276)-SUM(P275:Y275),2)</f>
        <v>0</v>
      </c>
      <c r="E276" s="55" t="n">
        <f aca="false">SUM(P276:Y276)</f>
        <v>0</v>
      </c>
      <c r="F276" s="42" t="n">
        <f aca="false">AJ276+MIN(Z276-AJ276,MAX(0,'Start Here'!$B$10-SUM($AJ276:$AS276)-SUMPRODUCT(($Z$3:$AI$3&lt;Z$3)*($Z276:$AI276-$AJ276:$AS276))))</f>
        <v>0</v>
      </c>
      <c r="G276" s="42" t="n">
        <f aca="false">AK276+MIN(AA276-AK276,MAX(0,'Start Here'!$B$10-SUM($AJ276:$AS276)-SUMPRODUCT(($Z$3:$AI$3&lt;AA$3)*($Z276:$AI276-$AJ276:$AS276))))</f>
        <v>0</v>
      </c>
      <c r="H276" s="42" t="n">
        <f aca="false">AL276+MIN(AB276-AL276,MAX(0,'Start Here'!$B$10-SUM($AJ276:$AS276)-SUMPRODUCT(($Z$3:$AI$3&lt;AB$3)*($Z276:$AI276-$AJ276:$AS276))))</f>
        <v>0</v>
      </c>
      <c r="I276" s="42" t="n">
        <f aca="false">AM276+MIN(AC276-AM276,MAX(0,'Start Here'!$B$10-SUM($AJ276:$AS276)-SUMPRODUCT(($Z$3:$AI$3&lt;AC$3)*($Z276:$AI276-$AJ276:$AS276))))</f>
        <v>0</v>
      </c>
      <c r="J276" s="42" t="n">
        <f aca="false">AN276+MIN(AD276-AN276,MAX(0,'Start Here'!$B$10-SUM($AJ276:$AS276)-SUMPRODUCT(($Z$3:$AI$3&lt;AD$3)*($Z276:$AI276-$AJ276:$AS276))))</f>
        <v>0</v>
      </c>
      <c r="K276" s="42" t="n">
        <f aca="false">AO276+MIN(AE276-AO276,MAX(0,'Start Here'!$B$10-SUM($AJ276:$AS276)-SUMPRODUCT(($Z$3:$AI$3&lt;AE$3)*($Z276:$AI276-$AJ276:$AS276))))</f>
        <v>0</v>
      </c>
      <c r="L276" s="42" t="n">
        <f aca="false">AP276+MIN(AF276-AP276,MAX(0,'Start Here'!$B$10-SUM($AJ276:$AS276)-SUMPRODUCT(($Z$3:$AI$3&lt;AF$3)*($Z276:$AI276-$AJ276:$AS276))))</f>
        <v>0</v>
      </c>
      <c r="M276" s="42" t="n">
        <f aca="false">AQ276+MIN(AG276-AQ276,MAX(0,'Start Here'!$B$10-SUM($AJ276:$AS276)-SUMPRODUCT(($Z$3:$AI$3&lt;AG$3)*($Z276:$AI276-$AJ276:$AS276))))</f>
        <v>0</v>
      </c>
      <c r="N276" s="42" t="n">
        <f aca="false">AR276+MIN(AH276-AR276,MAX(0,'Start Here'!$B$10-SUM($AJ276:$AS276)-SUMPRODUCT(($Z$3:$AI$3&lt;AH$3)*($Z276:$AI276-$AJ276:$AS276))))</f>
        <v>0</v>
      </c>
      <c r="O276" s="42" t="n">
        <f aca="false">AS276+MIN(AI276-AS276,MAX(0,'Start Here'!$B$10-SUM($AJ276:$AS276)-SUMPRODUCT(($Z$3:$AI$3&lt;AI$3)*($Z276:$AI276-$AJ276:$AS276))))</f>
        <v>0</v>
      </c>
      <c r="P276" s="42" t="n">
        <f aca="false">ROUND(Z276-F276,2)</f>
        <v>0</v>
      </c>
      <c r="Q276" s="42" t="n">
        <f aca="false">ROUND(AA276-G276,2)</f>
        <v>0</v>
      </c>
      <c r="R276" s="42" t="n">
        <f aca="false">ROUND(AB276-H276,2)</f>
        <v>0</v>
      </c>
      <c r="S276" s="42" t="n">
        <f aca="false">ROUND(AC276-I276,2)</f>
        <v>0</v>
      </c>
      <c r="T276" s="42" t="n">
        <f aca="false">ROUND(AD276-J276,2)</f>
        <v>0</v>
      </c>
      <c r="U276" s="42" t="n">
        <f aca="false">ROUND(AE276-K276,2)</f>
        <v>0</v>
      </c>
      <c r="V276" s="42" t="n">
        <f aca="false">ROUND(AF276-L276,2)</f>
        <v>0</v>
      </c>
      <c r="W276" s="42" t="n">
        <f aca="false">ROUND(AG276-M276,2)</f>
        <v>0</v>
      </c>
      <c r="X276" s="42" t="n">
        <f aca="false">ROUND(AH276-N276,2)</f>
        <v>0</v>
      </c>
      <c r="Y276" s="42" t="n">
        <f aca="false">ROUND(AI276-O276,2)</f>
        <v>0</v>
      </c>
      <c r="Z276" s="56" t="n">
        <f aca="false">ROUND(P275*(1+N(Debts!$D$5)/12),2)</f>
        <v>0</v>
      </c>
      <c r="AA276" s="56" t="n">
        <f aca="false">ROUND(Q275*(1+N(Debts!$D$6)/12),2)</f>
        <v>0</v>
      </c>
      <c r="AB276" s="56" t="n">
        <f aca="false">ROUND(R275*(1+N(Debts!$D$7)/12),2)</f>
        <v>0</v>
      </c>
      <c r="AC276" s="56" t="n">
        <f aca="false">ROUND(S275*(1+N(Debts!$D$8)/12),2)</f>
        <v>0</v>
      </c>
      <c r="AD276" s="56" t="n">
        <f aca="false">ROUND(T275*(1+N(Debts!$D$9)/12),2)</f>
        <v>0</v>
      </c>
      <c r="AE276" s="56" t="n">
        <f aca="false">ROUND(U275*(1+N(Debts!$D$10)/12),2)</f>
        <v>0</v>
      </c>
      <c r="AF276" s="56" t="n">
        <f aca="false">ROUND(V275*(1+N(Debts!$D$11)/12),2)</f>
        <v>0</v>
      </c>
      <c r="AG276" s="56" t="n">
        <f aca="false">ROUND(W275*(1+N(Debts!$D$12)/12),2)</f>
        <v>0</v>
      </c>
      <c r="AH276" s="56" t="n">
        <f aca="false">ROUND(X275*(1+N(Debts!$D$13)/12),2)</f>
        <v>0</v>
      </c>
      <c r="AI276" s="56" t="n">
        <f aca="false">ROUND(Y275*(1+N(Debts!$D$14)/12),2)</f>
        <v>0</v>
      </c>
      <c r="AJ276" s="56" t="n">
        <f aca="false">MIN(Z276,MAX(0,N(Debts!$E$5)))</f>
        <v>0</v>
      </c>
      <c r="AK276" s="56" t="n">
        <f aca="false">MIN(AA276,MAX(0,N(Debts!$E$6)))</f>
        <v>0</v>
      </c>
      <c r="AL276" s="56" t="n">
        <f aca="false">MIN(AB276,MAX(0,N(Debts!$E$7)))</f>
        <v>0</v>
      </c>
      <c r="AM276" s="56" t="n">
        <f aca="false">MIN(AC276,MAX(0,N(Debts!$E$8)))</f>
        <v>0</v>
      </c>
      <c r="AN276" s="56" t="n">
        <f aca="false">MIN(AD276,MAX(0,N(Debts!$E$9)))</f>
        <v>0</v>
      </c>
      <c r="AO276" s="56" t="n">
        <f aca="false">MIN(AE276,MAX(0,N(Debts!$E$10)))</f>
        <v>0</v>
      </c>
      <c r="AP276" s="56" t="n">
        <f aca="false">MIN(AF276,MAX(0,N(Debts!$E$11)))</f>
        <v>0</v>
      </c>
      <c r="AQ276" s="56" t="n">
        <f aca="false">MIN(AG276,MAX(0,N(Debts!$E$12)))</f>
        <v>0</v>
      </c>
      <c r="AR276" s="56" t="n">
        <f aca="false">MIN(AH276,MAX(0,N(Debts!$E$13)))</f>
        <v>0</v>
      </c>
      <c r="AS276" s="56" t="n">
        <f aca="false">MIN(AI276,MAX(0,N(Debts!$E$14)))</f>
        <v>0</v>
      </c>
    </row>
    <row r="277" customFormat="false" ht="15" hidden="false" customHeight="false" outlineLevel="0" collapsed="false">
      <c r="A277" s="53" t="n">
        <v>273</v>
      </c>
      <c r="B277" s="54" t="n">
        <f aca="false">EDATE('Start Here'!$B$8,272)</f>
        <v>54605</v>
      </c>
      <c r="C277" s="42" t="n">
        <f aca="false">SUM(F277:O277)</f>
        <v>0</v>
      </c>
      <c r="D277" s="42" t="n">
        <f aca="false">ROUND(SUM($Z277:$AI277)-SUM(P276:Y276),2)</f>
        <v>0</v>
      </c>
      <c r="E277" s="55" t="n">
        <f aca="false">SUM(P277:Y277)</f>
        <v>0</v>
      </c>
      <c r="F277" s="42" t="n">
        <f aca="false">AJ277+MIN(Z277-AJ277,MAX(0,'Start Here'!$B$10-SUM($AJ277:$AS277)-SUMPRODUCT(($Z$3:$AI$3&lt;Z$3)*($Z277:$AI277-$AJ277:$AS277))))</f>
        <v>0</v>
      </c>
      <c r="G277" s="42" t="n">
        <f aca="false">AK277+MIN(AA277-AK277,MAX(0,'Start Here'!$B$10-SUM($AJ277:$AS277)-SUMPRODUCT(($Z$3:$AI$3&lt;AA$3)*($Z277:$AI277-$AJ277:$AS277))))</f>
        <v>0</v>
      </c>
      <c r="H277" s="42" t="n">
        <f aca="false">AL277+MIN(AB277-AL277,MAX(0,'Start Here'!$B$10-SUM($AJ277:$AS277)-SUMPRODUCT(($Z$3:$AI$3&lt;AB$3)*($Z277:$AI277-$AJ277:$AS277))))</f>
        <v>0</v>
      </c>
      <c r="I277" s="42" t="n">
        <f aca="false">AM277+MIN(AC277-AM277,MAX(0,'Start Here'!$B$10-SUM($AJ277:$AS277)-SUMPRODUCT(($Z$3:$AI$3&lt;AC$3)*($Z277:$AI277-$AJ277:$AS277))))</f>
        <v>0</v>
      </c>
      <c r="J277" s="42" t="n">
        <f aca="false">AN277+MIN(AD277-AN277,MAX(0,'Start Here'!$B$10-SUM($AJ277:$AS277)-SUMPRODUCT(($Z$3:$AI$3&lt;AD$3)*($Z277:$AI277-$AJ277:$AS277))))</f>
        <v>0</v>
      </c>
      <c r="K277" s="42" t="n">
        <f aca="false">AO277+MIN(AE277-AO277,MAX(0,'Start Here'!$B$10-SUM($AJ277:$AS277)-SUMPRODUCT(($Z$3:$AI$3&lt;AE$3)*($Z277:$AI277-$AJ277:$AS277))))</f>
        <v>0</v>
      </c>
      <c r="L277" s="42" t="n">
        <f aca="false">AP277+MIN(AF277-AP277,MAX(0,'Start Here'!$B$10-SUM($AJ277:$AS277)-SUMPRODUCT(($Z$3:$AI$3&lt;AF$3)*($Z277:$AI277-$AJ277:$AS277))))</f>
        <v>0</v>
      </c>
      <c r="M277" s="42" t="n">
        <f aca="false">AQ277+MIN(AG277-AQ277,MAX(0,'Start Here'!$B$10-SUM($AJ277:$AS277)-SUMPRODUCT(($Z$3:$AI$3&lt;AG$3)*($Z277:$AI277-$AJ277:$AS277))))</f>
        <v>0</v>
      </c>
      <c r="N277" s="42" t="n">
        <f aca="false">AR277+MIN(AH277-AR277,MAX(0,'Start Here'!$B$10-SUM($AJ277:$AS277)-SUMPRODUCT(($Z$3:$AI$3&lt;AH$3)*($Z277:$AI277-$AJ277:$AS277))))</f>
        <v>0</v>
      </c>
      <c r="O277" s="42" t="n">
        <f aca="false">AS277+MIN(AI277-AS277,MAX(0,'Start Here'!$B$10-SUM($AJ277:$AS277)-SUMPRODUCT(($Z$3:$AI$3&lt;AI$3)*($Z277:$AI277-$AJ277:$AS277))))</f>
        <v>0</v>
      </c>
      <c r="P277" s="42" t="n">
        <f aca="false">ROUND(Z277-F277,2)</f>
        <v>0</v>
      </c>
      <c r="Q277" s="42" t="n">
        <f aca="false">ROUND(AA277-G277,2)</f>
        <v>0</v>
      </c>
      <c r="R277" s="42" t="n">
        <f aca="false">ROUND(AB277-H277,2)</f>
        <v>0</v>
      </c>
      <c r="S277" s="42" t="n">
        <f aca="false">ROUND(AC277-I277,2)</f>
        <v>0</v>
      </c>
      <c r="T277" s="42" t="n">
        <f aca="false">ROUND(AD277-J277,2)</f>
        <v>0</v>
      </c>
      <c r="U277" s="42" t="n">
        <f aca="false">ROUND(AE277-K277,2)</f>
        <v>0</v>
      </c>
      <c r="V277" s="42" t="n">
        <f aca="false">ROUND(AF277-L277,2)</f>
        <v>0</v>
      </c>
      <c r="W277" s="42" t="n">
        <f aca="false">ROUND(AG277-M277,2)</f>
        <v>0</v>
      </c>
      <c r="X277" s="42" t="n">
        <f aca="false">ROUND(AH277-N277,2)</f>
        <v>0</v>
      </c>
      <c r="Y277" s="42" t="n">
        <f aca="false">ROUND(AI277-O277,2)</f>
        <v>0</v>
      </c>
      <c r="Z277" s="56" t="n">
        <f aca="false">ROUND(P276*(1+N(Debts!$D$5)/12),2)</f>
        <v>0</v>
      </c>
      <c r="AA277" s="56" t="n">
        <f aca="false">ROUND(Q276*(1+N(Debts!$D$6)/12),2)</f>
        <v>0</v>
      </c>
      <c r="AB277" s="56" t="n">
        <f aca="false">ROUND(R276*(1+N(Debts!$D$7)/12),2)</f>
        <v>0</v>
      </c>
      <c r="AC277" s="56" t="n">
        <f aca="false">ROUND(S276*(1+N(Debts!$D$8)/12),2)</f>
        <v>0</v>
      </c>
      <c r="AD277" s="56" t="n">
        <f aca="false">ROUND(T276*(1+N(Debts!$D$9)/12),2)</f>
        <v>0</v>
      </c>
      <c r="AE277" s="56" t="n">
        <f aca="false">ROUND(U276*(1+N(Debts!$D$10)/12),2)</f>
        <v>0</v>
      </c>
      <c r="AF277" s="56" t="n">
        <f aca="false">ROUND(V276*(1+N(Debts!$D$11)/12),2)</f>
        <v>0</v>
      </c>
      <c r="AG277" s="56" t="n">
        <f aca="false">ROUND(W276*(1+N(Debts!$D$12)/12),2)</f>
        <v>0</v>
      </c>
      <c r="AH277" s="56" t="n">
        <f aca="false">ROUND(X276*(1+N(Debts!$D$13)/12),2)</f>
        <v>0</v>
      </c>
      <c r="AI277" s="56" t="n">
        <f aca="false">ROUND(Y276*(1+N(Debts!$D$14)/12),2)</f>
        <v>0</v>
      </c>
      <c r="AJ277" s="56" t="n">
        <f aca="false">MIN(Z277,MAX(0,N(Debts!$E$5)))</f>
        <v>0</v>
      </c>
      <c r="AK277" s="56" t="n">
        <f aca="false">MIN(AA277,MAX(0,N(Debts!$E$6)))</f>
        <v>0</v>
      </c>
      <c r="AL277" s="56" t="n">
        <f aca="false">MIN(AB277,MAX(0,N(Debts!$E$7)))</f>
        <v>0</v>
      </c>
      <c r="AM277" s="56" t="n">
        <f aca="false">MIN(AC277,MAX(0,N(Debts!$E$8)))</f>
        <v>0</v>
      </c>
      <c r="AN277" s="56" t="n">
        <f aca="false">MIN(AD277,MAX(0,N(Debts!$E$9)))</f>
        <v>0</v>
      </c>
      <c r="AO277" s="56" t="n">
        <f aca="false">MIN(AE277,MAX(0,N(Debts!$E$10)))</f>
        <v>0</v>
      </c>
      <c r="AP277" s="56" t="n">
        <f aca="false">MIN(AF277,MAX(0,N(Debts!$E$11)))</f>
        <v>0</v>
      </c>
      <c r="AQ277" s="56" t="n">
        <f aca="false">MIN(AG277,MAX(0,N(Debts!$E$12)))</f>
        <v>0</v>
      </c>
      <c r="AR277" s="56" t="n">
        <f aca="false">MIN(AH277,MAX(0,N(Debts!$E$13)))</f>
        <v>0</v>
      </c>
      <c r="AS277" s="56" t="n">
        <f aca="false">MIN(AI277,MAX(0,N(Debts!$E$14)))</f>
        <v>0</v>
      </c>
    </row>
    <row r="278" customFormat="false" ht="15" hidden="false" customHeight="false" outlineLevel="0" collapsed="false">
      <c r="A278" s="53" t="n">
        <v>274</v>
      </c>
      <c r="B278" s="54" t="n">
        <f aca="false">EDATE('Start Here'!$B$8,273)</f>
        <v>54636</v>
      </c>
      <c r="C278" s="42" t="n">
        <f aca="false">SUM(F278:O278)</f>
        <v>0</v>
      </c>
      <c r="D278" s="42" t="n">
        <f aca="false">ROUND(SUM($Z278:$AI278)-SUM(P277:Y277),2)</f>
        <v>0</v>
      </c>
      <c r="E278" s="55" t="n">
        <f aca="false">SUM(P278:Y278)</f>
        <v>0</v>
      </c>
      <c r="F278" s="42" t="n">
        <f aca="false">AJ278+MIN(Z278-AJ278,MAX(0,'Start Here'!$B$10-SUM($AJ278:$AS278)-SUMPRODUCT(($Z$3:$AI$3&lt;Z$3)*($Z278:$AI278-$AJ278:$AS278))))</f>
        <v>0</v>
      </c>
      <c r="G278" s="42" t="n">
        <f aca="false">AK278+MIN(AA278-AK278,MAX(0,'Start Here'!$B$10-SUM($AJ278:$AS278)-SUMPRODUCT(($Z$3:$AI$3&lt;AA$3)*($Z278:$AI278-$AJ278:$AS278))))</f>
        <v>0</v>
      </c>
      <c r="H278" s="42" t="n">
        <f aca="false">AL278+MIN(AB278-AL278,MAX(0,'Start Here'!$B$10-SUM($AJ278:$AS278)-SUMPRODUCT(($Z$3:$AI$3&lt;AB$3)*($Z278:$AI278-$AJ278:$AS278))))</f>
        <v>0</v>
      </c>
      <c r="I278" s="42" t="n">
        <f aca="false">AM278+MIN(AC278-AM278,MAX(0,'Start Here'!$B$10-SUM($AJ278:$AS278)-SUMPRODUCT(($Z$3:$AI$3&lt;AC$3)*($Z278:$AI278-$AJ278:$AS278))))</f>
        <v>0</v>
      </c>
      <c r="J278" s="42" t="n">
        <f aca="false">AN278+MIN(AD278-AN278,MAX(0,'Start Here'!$B$10-SUM($AJ278:$AS278)-SUMPRODUCT(($Z$3:$AI$3&lt;AD$3)*($Z278:$AI278-$AJ278:$AS278))))</f>
        <v>0</v>
      </c>
      <c r="K278" s="42" t="n">
        <f aca="false">AO278+MIN(AE278-AO278,MAX(0,'Start Here'!$B$10-SUM($AJ278:$AS278)-SUMPRODUCT(($Z$3:$AI$3&lt;AE$3)*($Z278:$AI278-$AJ278:$AS278))))</f>
        <v>0</v>
      </c>
      <c r="L278" s="42" t="n">
        <f aca="false">AP278+MIN(AF278-AP278,MAX(0,'Start Here'!$B$10-SUM($AJ278:$AS278)-SUMPRODUCT(($Z$3:$AI$3&lt;AF$3)*($Z278:$AI278-$AJ278:$AS278))))</f>
        <v>0</v>
      </c>
      <c r="M278" s="42" t="n">
        <f aca="false">AQ278+MIN(AG278-AQ278,MAX(0,'Start Here'!$B$10-SUM($AJ278:$AS278)-SUMPRODUCT(($Z$3:$AI$3&lt;AG$3)*($Z278:$AI278-$AJ278:$AS278))))</f>
        <v>0</v>
      </c>
      <c r="N278" s="42" t="n">
        <f aca="false">AR278+MIN(AH278-AR278,MAX(0,'Start Here'!$B$10-SUM($AJ278:$AS278)-SUMPRODUCT(($Z$3:$AI$3&lt;AH$3)*($Z278:$AI278-$AJ278:$AS278))))</f>
        <v>0</v>
      </c>
      <c r="O278" s="42" t="n">
        <f aca="false">AS278+MIN(AI278-AS278,MAX(0,'Start Here'!$B$10-SUM($AJ278:$AS278)-SUMPRODUCT(($Z$3:$AI$3&lt;AI$3)*($Z278:$AI278-$AJ278:$AS278))))</f>
        <v>0</v>
      </c>
      <c r="P278" s="42" t="n">
        <f aca="false">ROUND(Z278-F278,2)</f>
        <v>0</v>
      </c>
      <c r="Q278" s="42" t="n">
        <f aca="false">ROUND(AA278-G278,2)</f>
        <v>0</v>
      </c>
      <c r="R278" s="42" t="n">
        <f aca="false">ROUND(AB278-H278,2)</f>
        <v>0</v>
      </c>
      <c r="S278" s="42" t="n">
        <f aca="false">ROUND(AC278-I278,2)</f>
        <v>0</v>
      </c>
      <c r="T278" s="42" t="n">
        <f aca="false">ROUND(AD278-J278,2)</f>
        <v>0</v>
      </c>
      <c r="U278" s="42" t="n">
        <f aca="false">ROUND(AE278-K278,2)</f>
        <v>0</v>
      </c>
      <c r="V278" s="42" t="n">
        <f aca="false">ROUND(AF278-L278,2)</f>
        <v>0</v>
      </c>
      <c r="W278" s="42" t="n">
        <f aca="false">ROUND(AG278-M278,2)</f>
        <v>0</v>
      </c>
      <c r="X278" s="42" t="n">
        <f aca="false">ROUND(AH278-N278,2)</f>
        <v>0</v>
      </c>
      <c r="Y278" s="42" t="n">
        <f aca="false">ROUND(AI278-O278,2)</f>
        <v>0</v>
      </c>
      <c r="Z278" s="56" t="n">
        <f aca="false">ROUND(P277*(1+N(Debts!$D$5)/12),2)</f>
        <v>0</v>
      </c>
      <c r="AA278" s="56" t="n">
        <f aca="false">ROUND(Q277*(1+N(Debts!$D$6)/12),2)</f>
        <v>0</v>
      </c>
      <c r="AB278" s="56" t="n">
        <f aca="false">ROUND(R277*(1+N(Debts!$D$7)/12),2)</f>
        <v>0</v>
      </c>
      <c r="AC278" s="56" t="n">
        <f aca="false">ROUND(S277*(1+N(Debts!$D$8)/12),2)</f>
        <v>0</v>
      </c>
      <c r="AD278" s="56" t="n">
        <f aca="false">ROUND(T277*(1+N(Debts!$D$9)/12),2)</f>
        <v>0</v>
      </c>
      <c r="AE278" s="56" t="n">
        <f aca="false">ROUND(U277*(1+N(Debts!$D$10)/12),2)</f>
        <v>0</v>
      </c>
      <c r="AF278" s="56" t="n">
        <f aca="false">ROUND(V277*(1+N(Debts!$D$11)/12),2)</f>
        <v>0</v>
      </c>
      <c r="AG278" s="56" t="n">
        <f aca="false">ROUND(W277*(1+N(Debts!$D$12)/12),2)</f>
        <v>0</v>
      </c>
      <c r="AH278" s="56" t="n">
        <f aca="false">ROUND(X277*(1+N(Debts!$D$13)/12),2)</f>
        <v>0</v>
      </c>
      <c r="AI278" s="56" t="n">
        <f aca="false">ROUND(Y277*(1+N(Debts!$D$14)/12),2)</f>
        <v>0</v>
      </c>
      <c r="AJ278" s="56" t="n">
        <f aca="false">MIN(Z278,MAX(0,N(Debts!$E$5)))</f>
        <v>0</v>
      </c>
      <c r="AK278" s="56" t="n">
        <f aca="false">MIN(AA278,MAX(0,N(Debts!$E$6)))</f>
        <v>0</v>
      </c>
      <c r="AL278" s="56" t="n">
        <f aca="false">MIN(AB278,MAX(0,N(Debts!$E$7)))</f>
        <v>0</v>
      </c>
      <c r="AM278" s="56" t="n">
        <f aca="false">MIN(AC278,MAX(0,N(Debts!$E$8)))</f>
        <v>0</v>
      </c>
      <c r="AN278" s="56" t="n">
        <f aca="false">MIN(AD278,MAX(0,N(Debts!$E$9)))</f>
        <v>0</v>
      </c>
      <c r="AO278" s="56" t="n">
        <f aca="false">MIN(AE278,MAX(0,N(Debts!$E$10)))</f>
        <v>0</v>
      </c>
      <c r="AP278" s="56" t="n">
        <f aca="false">MIN(AF278,MAX(0,N(Debts!$E$11)))</f>
        <v>0</v>
      </c>
      <c r="AQ278" s="56" t="n">
        <f aca="false">MIN(AG278,MAX(0,N(Debts!$E$12)))</f>
        <v>0</v>
      </c>
      <c r="AR278" s="56" t="n">
        <f aca="false">MIN(AH278,MAX(0,N(Debts!$E$13)))</f>
        <v>0</v>
      </c>
      <c r="AS278" s="56" t="n">
        <f aca="false">MIN(AI278,MAX(0,N(Debts!$E$14)))</f>
        <v>0</v>
      </c>
    </row>
    <row r="279" customFormat="false" ht="15" hidden="false" customHeight="false" outlineLevel="0" collapsed="false">
      <c r="A279" s="53" t="n">
        <v>275</v>
      </c>
      <c r="B279" s="54" t="n">
        <f aca="false">EDATE('Start Here'!$B$8,274)</f>
        <v>54667</v>
      </c>
      <c r="C279" s="42" t="n">
        <f aca="false">SUM(F279:O279)</f>
        <v>0</v>
      </c>
      <c r="D279" s="42" t="n">
        <f aca="false">ROUND(SUM($Z279:$AI279)-SUM(P278:Y278),2)</f>
        <v>0</v>
      </c>
      <c r="E279" s="55" t="n">
        <f aca="false">SUM(P279:Y279)</f>
        <v>0</v>
      </c>
      <c r="F279" s="42" t="n">
        <f aca="false">AJ279+MIN(Z279-AJ279,MAX(0,'Start Here'!$B$10-SUM($AJ279:$AS279)-SUMPRODUCT(($Z$3:$AI$3&lt;Z$3)*($Z279:$AI279-$AJ279:$AS279))))</f>
        <v>0</v>
      </c>
      <c r="G279" s="42" t="n">
        <f aca="false">AK279+MIN(AA279-AK279,MAX(0,'Start Here'!$B$10-SUM($AJ279:$AS279)-SUMPRODUCT(($Z$3:$AI$3&lt;AA$3)*($Z279:$AI279-$AJ279:$AS279))))</f>
        <v>0</v>
      </c>
      <c r="H279" s="42" t="n">
        <f aca="false">AL279+MIN(AB279-AL279,MAX(0,'Start Here'!$B$10-SUM($AJ279:$AS279)-SUMPRODUCT(($Z$3:$AI$3&lt;AB$3)*($Z279:$AI279-$AJ279:$AS279))))</f>
        <v>0</v>
      </c>
      <c r="I279" s="42" t="n">
        <f aca="false">AM279+MIN(AC279-AM279,MAX(0,'Start Here'!$B$10-SUM($AJ279:$AS279)-SUMPRODUCT(($Z$3:$AI$3&lt;AC$3)*($Z279:$AI279-$AJ279:$AS279))))</f>
        <v>0</v>
      </c>
      <c r="J279" s="42" t="n">
        <f aca="false">AN279+MIN(AD279-AN279,MAX(0,'Start Here'!$B$10-SUM($AJ279:$AS279)-SUMPRODUCT(($Z$3:$AI$3&lt;AD$3)*($Z279:$AI279-$AJ279:$AS279))))</f>
        <v>0</v>
      </c>
      <c r="K279" s="42" t="n">
        <f aca="false">AO279+MIN(AE279-AO279,MAX(0,'Start Here'!$B$10-SUM($AJ279:$AS279)-SUMPRODUCT(($Z$3:$AI$3&lt;AE$3)*($Z279:$AI279-$AJ279:$AS279))))</f>
        <v>0</v>
      </c>
      <c r="L279" s="42" t="n">
        <f aca="false">AP279+MIN(AF279-AP279,MAX(0,'Start Here'!$B$10-SUM($AJ279:$AS279)-SUMPRODUCT(($Z$3:$AI$3&lt;AF$3)*($Z279:$AI279-$AJ279:$AS279))))</f>
        <v>0</v>
      </c>
      <c r="M279" s="42" t="n">
        <f aca="false">AQ279+MIN(AG279-AQ279,MAX(0,'Start Here'!$B$10-SUM($AJ279:$AS279)-SUMPRODUCT(($Z$3:$AI$3&lt;AG$3)*($Z279:$AI279-$AJ279:$AS279))))</f>
        <v>0</v>
      </c>
      <c r="N279" s="42" t="n">
        <f aca="false">AR279+MIN(AH279-AR279,MAX(0,'Start Here'!$B$10-SUM($AJ279:$AS279)-SUMPRODUCT(($Z$3:$AI$3&lt;AH$3)*($Z279:$AI279-$AJ279:$AS279))))</f>
        <v>0</v>
      </c>
      <c r="O279" s="42" t="n">
        <f aca="false">AS279+MIN(AI279-AS279,MAX(0,'Start Here'!$B$10-SUM($AJ279:$AS279)-SUMPRODUCT(($Z$3:$AI$3&lt;AI$3)*($Z279:$AI279-$AJ279:$AS279))))</f>
        <v>0</v>
      </c>
      <c r="P279" s="42" t="n">
        <f aca="false">ROUND(Z279-F279,2)</f>
        <v>0</v>
      </c>
      <c r="Q279" s="42" t="n">
        <f aca="false">ROUND(AA279-G279,2)</f>
        <v>0</v>
      </c>
      <c r="R279" s="42" t="n">
        <f aca="false">ROUND(AB279-H279,2)</f>
        <v>0</v>
      </c>
      <c r="S279" s="42" t="n">
        <f aca="false">ROUND(AC279-I279,2)</f>
        <v>0</v>
      </c>
      <c r="T279" s="42" t="n">
        <f aca="false">ROUND(AD279-J279,2)</f>
        <v>0</v>
      </c>
      <c r="U279" s="42" t="n">
        <f aca="false">ROUND(AE279-K279,2)</f>
        <v>0</v>
      </c>
      <c r="V279" s="42" t="n">
        <f aca="false">ROUND(AF279-L279,2)</f>
        <v>0</v>
      </c>
      <c r="W279" s="42" t="n">
        <f aca="false">ROUND(AG279-M279,2)</f>
        <v>0</v>
      </c>
      <c r="X279" s="42" t="n">
        <f aca="false">ROUND(AH279-N279,2)</f>
        <v>0</v>
      </c>
      <c r="Y279" s="42" t="n">
        <f aca="false">ROUND(AI279-O279,2)</f>
        <v>0</v>
      </c>
      <c r="Z279" s="56" t="n">
        <f aca="false">ROUND(P278*(1+N(Debts!$D$5)/12),2)</f>
        <v>0</v>
      </c>
      <c r="AA279" s="56" t="n">
        <f aca="false">ROUND(Q278*(1+N(Debts!$D$6)/12),2)</f>
        <v>0</v>
      </c>
      <c r="AB279" s="56" t="n">
        <f aca="false">ROUND(R278*(1+N(Debts!$D$7)/12),2)</f>
        <v>0</v>
      </c>
      <c r="AC279" s="56" t="n">
        <f aca="false">ROUND(S278*(1+N(Debts!$D$8)/12),2)</f>
        <v>0</v>
      </c>
      <c r="AD279" s="56" t="n">
        <f aca="false">ROUND(T278*(1+N(Debts!$D$9)/12),2)</f>
        <v>0</v>
      </c>
      <c r="AE279" s="56" t="n">
        <f aca="false">ROUND(U278*(1+N(Debts!$D$10)/12),2)</f>
        <v>0</v>
      </c>
      <c r="AF279" s="56" t="n">
        <f aca="false">ROUND(V278*(1+N(Debts!$D$11)/12),2)</f>
        <v>0</v>
      </c>
      <c r="AG279" s="56" t="n">
        <f aca="false">ROUND(W278*(1+N(Debts!$D$12)/12),2)</f>
        <v>0</v>
      </c>
      <c r="AH279" s="56" t="n">
        <f aca="false">ROUND(X278*(1+N(Debts!$D$13)/12),2)</f>
        <v>0</v>
      </c>
      <c r="AI279" s="56" t="n">
        <f aca="false">ROUND(Y278*(1+N(Debts!$D$14)/12),2)</f>
        <v>0</v>
      </c>
      <c r="AJ279" s="56" t="n">
        <f aca="false">MIN(Z279,MAX(0,N(Debts!$E$5)))</f>
        <v>0</v>
      </c>
      <c r="AK279" s="56" t="n">
        <f aca="false">MIN(AA279,MAX(0,N(Debts!$E$6)))</f>
        <v>0</v>
      </c>
      <c r="AL279" s="56" t="n">
        <f aca="false">MIN(AB279,MAX(0,N(Debts!$E$7)))</f>
        <v>0</v>
      </c>
      <c r="AM279" s="56" t="n">
        <f aca="false">MIN(AC279,MAX(0,N(Debts!$E$8)))</f>
        <v>0</v>
      </c>
      <c r="AN279" s="56" t="n">
        <f aca="false">MIN(AD279,MAX(0,N(Debts!$E$9)))</f>
        <v>0</v>
      </c>
      <c r="AO279" s="56" t="n">
        <f aca="false">MIN(AE279,MAX(0,N(Debts!$E$10)))</f>
        <v>0</v>
      </c>
      <c r="AP279" s="56" t="n">
        <f aca="false">MIN(AF279,MAX(0,N(Debts!$E$11)))</f>
        <v>0</v>
      </c>
      <c r="AQ279" s="56" t="n">
        <f aca="false">MIN(AG279,MAX(0,N(Debts!$E$12)))</f>
        <v>0</v>
      </c>
      <c r="AR279" s="56" t="n">
        <f aca="false">MIN(AH279,MAX(0,N(Debts!$E$13)))</f>
        <v>0</v>
      </c>
      <c r="AS279" s="56" t="n">
        <f aca="false">MIN(AI279,MAX(0,N(Debts!$E$14)))</f>
        <v>0</v>
      </c>
    </row>
    <row r="280" customFormat="false" ht="15" hidden="false" customHeight="false" outlineLevel="0" collapsed="false">
      <c r="A280" s="53" t="n">
        <v>276</v>
      </c>
      <c r="B280" s="54" t="n">
        <f aca="false">EDATE('Start Here'!$B$8,275)</f>
        <v>54697</v>
      </c>
      <c r="C280" s="42" t="n">
        <f aca="false">SUM(F280:O280)</f>
        <v>0</v>
      </c>
      <c r="D280" s="42" t="n">
        <f aca="false">ROUND(SUM($Z280:$AI280)-SUM(P279:Y279),2)</f>
        <v>0</v>
      </c>
      <c r="E280" s="55" t="n">
        <f aca="false">SUM(P280:Y280)</f>
        <v>0</v>
      </c>
      <c r="F280" s="42" t="n">
        <f aca="false">AJ280+MIN(Z280-AJ280,MAX(0,'Start Here'!$B$10-SUM($AJ280:$AS280)-SUMPRODUCT(($Z$3:$AI$3&lt;Z$3)*($Z280:$AI280-$AJ280:$AS280))))</f>
        <v>0</v>
      </c>
      <c r="G280" s="42" t="n">
        <f aca="false">AK280+MIN(AA280-AK280,MAX(0,'Start Here'!$B$10-SUM($AJ280:$AS280)-SUMPRODUCT(($Z$3:$AI$3&lt;AA$3)*($Z280:$AI280-$AJ280:$AS280))))</f>
        <v>0</v>
      </c>
      <c r="H280" s="42" t="n">
        <f aca="false">AL280+MIN(AB280-AL280,MAX(0,'Start Here'!$B$10-SUM($AJ280:$AS280)-SUMPRODUCT(($Z$3:$AI$3&lt;AB$3)*($Z280:$AI280-$AJ280:$AS280))))</f>
        <v>0</v>
      </c>
      <c r="I280" s="42" t="n">
        <f aca="false">AM280+MIN(AC280-AM280,MAX(0,'Start Here'!$B$10-SUM($AJ280:$AS280)-SUMPRODUCT(($Z$3:$AI$3&lt;AC$3)*($Z280:$AI280-$AJ280:$AS280))))</f>
        <v>0</v>
      </c>
      <c r="J280" s="42" t="n">
        <f aca="false">AN280+MIN(AD280-AN280,MAX(0,'Start Here'!$B$10-SUM($AJ280:$AS280)-SUMPRODUCT(($Z$3:$AI$3&lt;AD$3)*($Z280:$AI280-$AJ280:$AS280))))</f>
        <v>0</v>
      </c>
      <c r="K280" s="42" t="n">
        <f aca="false">AO280+MIN(AE280-AO280,MAX(0,'Start Here'!$B$10-SUM($AJ280:$AS280)-SUMPRODUCT(($Z$3:$AI$3&lt;AE$3)*($Z280:$AI280-$AJ280:$AS280))))</f>
        <v>0</v>
      </c>
      <c r="L280" s="42" t="n">
        <f aca="false">AP280+MIN(AF280-AP280,MAX(0,'Start Here'!$B$10-SUM($AJ280:$AS280)-SUMPRODUCT(($Z$3:$AI$3&lt;AF$3)*($Z280:$AI280-$AJ280:$AS280))))</f>
        <v>0</v>
      </c>
      <c r="M280" s="42" t="n">
        <f aca="false">AQ280+MIN(AG280-AQ280,MAX(0,'Start Here'!$B$10-SUM($AJ280:$AS280)-SUMPRODUCT(($Z$3:$AI$3&lt;AG$3)*($Z280:$AI280-$AJ280:$AS280))))</f>
        <v>0</v>
      </c>
      <c r="N280" s="42" t="n">
        <f aca="false">AR280+MIN(AH280-AR280,MAX(0,'Start Here'!$B$10-SUM($AJ280:$AS280)-SUMPRODUCT(($Z$3:$AI$3&lt;AH$3)*($Z280:$AI280-$AJ280:$AS280))))</f>
        <v>0</v>
      </c>
      <c r="O280" s="42" t="n">
        <f aca="false">AS280+MIN(AI280-AS280,MAX(0,'Start Here'!$B$10-SUM($AJ280:$AS280)-SUMPRODUCT(($Z$3:$AI$3&lt;AI$3)*($Z280:$AI280-$AJ280:$AS280))))</f>
        <v>0</v>
      </c>
      <c r="P280" s="42" t="n">
        <f aca="false">ROUND(Z280-F280,2)</f>
        <v>0</v>
      </c>
      <c r="Q280" s="42" t="n">
        <f aca="false">ROUND(AA280-G280,2)</f>
        <v>0</v>
      </c>
      <c r="R280" s="42" t="n">
        <f aca="false">ROUND(AB280-H280,2)</f>
        <v>0</v>
      </c>
      <c r="S280" s="42" t="n">
        <f aca="false">ROUND(AC280-I280,2)</f>
        <v>0</v>
      </c>
      <c r="T280" s="42" t="n">
        <f aca="false">ROUND(AD280-J280,2)</f>
        <v>0</v>
      </c>
      <c r="U280" s="42" t="n">
        <f aca="false">ROUND(AE280-K280,2)</f>
        <v>0</v>
      </c>
      <c r="V280" s="42" t="n">
        <f aca="false">ROUND(AF280-L280,2)</f>
        <v>0</v>
      </c>
      <c r="W280" s="42" t="n">
        <f aca="false">ROUND(AG280-M280,2)</f>
        <v>0</v>
      </c>
      <c r="X280" s="42" t="n">
        <f aca="false">ROUND(AH280-N280,2)</f>
        <v>0</v>
      </c>
      <c r="Y280" s="42" t="n">
        <f aca="false">ROUND(AI280-O280,2)</f>
        <v>0</v>
      </c>
      <c r="Z280" s="56" t="n">
        <f aca="false">ROUND(P279*(1+N(Debts!$D$5)/12),2)</f>
        <v>0</v>
      </c>
      <c r="AA280" s="56" t="n">
        <f aca="false">ROUND(Q279*(1+N(Debts!$D$6)/12),2)</f>
        <v>0</v>
      </c>
      <c r="AB280" s="56" t="n">
        <f aca="false">ROUND(R279*(1+N(Debts!$D$7)/12),2)</f>
        <v>0</v>
      </c>
      <c r="AC280" s="56" t="n">
        <f aca="false">ROUND(S279*(1+N(Debts!$D$8)/12),2)</f>
        <v>0</v>
      </c>
      <c r="AD280" s="56" t="n">
        <f aca="false">ROUND(T279*(1+N(Debts!$D$9)/12),2)</f>
        <v>0</v>
      </c>
      <c r="AE280" s="56" t="n">
        <f aca="false">ROUND(U279*(1+N(Debts!$D$10)/12),2)</f>
        <v>0</v>
      </c>
      <c r="AF280" s="56" t="n">
        <f aca="false">ROUND(V279*(1+N(Debts!$D$11)/12),2)</f>
        <v>0</v>
      </c>
      <c r="AG280" s="56" t="n">
        <f aca="false">ROUND(W279*(1+N(Debts!$D$12)/12),2)</f>
        <v>0</v>
      </c>
      <c r="AH280" s="56" t="n">
        <f aca="false">ROUND(X279*(1+N(Debts!$D$13)/12),2)</f>
        <v>0</v>
      </c>
      <c r="AI280" s="56" t="n">
        <f aca="false">ROUND(Y279*(1+N(Debts!$D$14)/12),2)</f>
        <v>0</v>
      </c>
      <c r="AJ280" s="56" t="n">
        <f aca="false">MIN(Z280,MAX(0,N(Debts!$E$5)))</f>
        <v>0</v>
      </c>
      <c r="AK280" s="56" t="n">
        <f aca="false">MIN(AA280,MAX(0,N(Debts!$E$6)))</f>
        <v>0</v>
      </c>
      <c r="AL280" s="56" t="n">
        <f aca="false">MIN(AB280,MAX(0,N(Debts!$E$7)))</f>
        <v>0</v>
      </c>
      <c r="AM280" s="56" t="n">
        <f aca="false">MIN(AC280,MAX(0,N(Debts!$E$8)))</f>
        <v>0</v>
      </c>
      <c r="AN280" s="56" t="n">
        <f aca="false">MIN(AD280,MAX(0,N(Debts!$E$9)))</f>
        <v>0</v>
      </c>
      <c r="AO280" s="56" t="n">
        <f aca="false">MIN(AE280,MAX(0,N(Debts!$E$10)))</f>
        <v>0</v>
      </c>
      <c r="AP280" s="56" t="n">
        <f aca="false">MIN(AF280,MAX(0,N(Debts!$E$11)))</f>
        <v>0</v>
      </c>
      <c r="AQ280" s="56" t="n">
        <f aca="false">MIN(AG280,MAX(0,N(Debts!$E$12)))</f>
        <v>0</v>
      </c>
      <c r="AR280" s="56" t="n">
        <f aca="false">MIN(AH280,MAX(0,N(Debts!$E$13)))</f>
        <v>0</v>
      </c>
      <c r="AS280" s="56" t="n">
        <f aca="false">MIN(AI280,MAX(0,N(Debts!$E$14)))</f>
        <v>0</v>
      </c>
    </row>
    <row r="281" customFormat="false" ht="15" hidden="false" customHeight="false" outlineLevel="0" collapsed="false">
      <c r="A281" s="53" t="n">
        <v>277</v>
      </c>
      <c r="B281" s="54" t="n">
        <f aca="false">EDATE('Start Here'!$B$8,276)</f>
        <v>54728</v>
      </c>
      <c r="C281" s="42" t="n">
        <f aca="false">SUM(F281:O281)</f>
        <v>0</v>
      </c>
      <c r="D281" s="42" t="n">
        <f aca="false">ROUND(SUM($Z281:$AI281)-SUM(P280:Y280),2)</f>
        <v>0</v>
      </c>
      <c r="E281" s="55" t="n">
        <f aca="false">SUM(P281:Y281)</f>
        <v>0</v>
      </c>
      <c r="F281" s="42" t="n">
        <f aca="false">AJ281+MIN(Z281-AJ281,MAX(0,'Start Here'!$B$10-SUM($AJ281:$AS281)-SUMPRODUCT(($Z$3:$AI$3&lt;Z$3)*($Z281:$AI281-$AJ281:$AS281))))</f>
        <v>0</v>
      </c>
      <c r="G281" s="42" t="n">
        <f aca="false">AK281+MIN(AA281-AK281,MAX(0,'Start Here'!$B$10-SUM($AJ281:$AS281)-SUMPRODUCT(($Z$3:$AI$3&lt;AA$3)*($Z281:$AI281-$AJ281:$AS281))))</f>
        <v>0</v>
      </c>
      <c r="H281" s="42" t="n">
        <f aca="false">AL281+MIN(AB281-AL281,MAX(0,'Start Here'!$B$10-SUM($AJ281:$AS281)-SUMPRODUCT(($Z$3:$AI$3&lt;AB$3)*($Z281:$AI281-$AJ281:$AS281))))</f>
        <v>0</v>
      </c>
      <c r="I281" s="42" t="n">
        <f aca="false">AM281+MIN(AC281-AM281,MAX(0,'Start Here'!$B$10-SUM($AJ281:$AS281)-SUMPRODUCT(($Z$3:$AI$3&lt;AC$3)*($Z281:$AI281-$AJ281:$AS281))))</f>
        <v>0</v>
      </c>
      <c r="J281" s="42" t="n">
        <f aca="false">AN281+MIN(AD281-AN281,MAX(0,'Start Here'!$B$10-SUM($AJ281:$AS281)-SUMPRODUCT(($Z$3:$AI$3&lt;AD$3)*($Z281:$AI281-$AJ281:$AS281))))</f>
        <v>0</v>
      </c>
      <c r="K281" s="42" t="n">
        <f aca="false">AO281+MIN(AE281-AO281,MAX(0,'Start Here'!$B$10-SUM($AJ281:$AS281)-SUMPRODUCT(($Z$3:$AI$3&lt;AE$3)*($Z281:$AI281-$AJ281:$AS281))))</f>
        <v>0</v>
      </c>
      <c r="L281" s="42" t="n">
        <f aca="false">AP281+MIN(AF281-AP281,MAX(0,'Start Here'!$B$10-SUM($AJ281:$AS281)-SUMPRODUCT(($Z$3:$AI$3&lt;AF$3)*($Z281:$AI281-$AJ281:$AS281))))</f>
        <v>0</v>
      </c>
      <c r="M281" s="42" t="n">
        <f aca="false">AQ281+MIN(AG281-AQ281,MAX(0,'Start Here'!$B$10-SUM($AJ281:$AS281)-SUMPRODUCT(($Z$3:$AI$3&lt;AG$3)*($Z281:$AI281-$AJ281:$AS281))))</f>
        <v>0</v>
      </c>
      <c r="N281" s="42" t="n">
        <f aca="false">AR281+MIN(AH281-AR281,MAX(0,'Start Here'!$B$10-SUM($AJ281:$AS281)-SUMPRODUCT(($Z$3:$AI$3&lt;AH$3)*($Z281:$AI281-$AJ281:$AS281))))</f>
        <v>0</v>
      </c>
      <c r="O281" s="42" t="n">
        <f aca="false">AS281+MIN(AI281-AS281,MAX(0,'Start Here'!$B$10-SUM($AJ281:$AS281)-SUMPRODUCT(($Z$3:$AI$3&lt;AI$3)*($Z281:$AI281-$AJ281:$AS281))))</f>
        <v>0</v>
      </c>
      <c r="P281" s="42" t="n">
        <f aca="false">ROUND(Z281-F281,2)</f>
        <v>0</v>
      </c>
      <c r="Q281" s="42" t="n">
        <f aca="false">ROUND(AA281-G281,2)</f>
        <v>0</v>
      </c>
      <c r="R281" s="42" t="n">
        <f aca="false">ROUND(AB281-H281,2)</f>
        <v>0</v>
      </c>
      <c r="S281" s="42" t="n">
        <f aca="false">ROUND(AC281-I281,2)</f>
        <v>0</v>
      </c>
      <c r="T281" s="42" t="n">
        <f aca="false">ROUND(AD281-J281,2)</f>
        <v>0</v>
      </c>
      <c r="U281" s="42" t="n">
        <f aca="false">ROUND(AE281-K281,2)</f>
        <v>0</v>
      </c>
      <c r="V281" s="42" t="n">
        <f aca="false">ROUND(AF281-L281,2)</f>
        <v>0</v>
      </c>
      <c r="W281" s="42" t="n">
        <f aca="false">ROUND(AG281-M281,2)</f>
        <v>0</v>
      </c>
      <c r="X281" s="42" t="n">
        <f aca="false">ROUND(AH281-N281,2)</f>
        <v>0</v>
      </c>
      <c r="Y281" s="42" t="n">
        <f aca="false">ROUND(AI281-O281,2)</f>
        <v>0</v>
      </c>
      <c r="Z281" s="56" t="n">
        <f aca="false">ROUND(P280*(1+N(Debts!$D$5)/12),2)</f>
        <v>0</v>
      </c>
      <c r="AA281" s="56" t="n">
        <f aca="false">ROUND(Q280*(1+N(Debts!$D$6)/12),2)</f>
        <v>0</v>
      </c>
      <c r="AB281" s="56" t="n">
        <f aca="false">ROUND(R280*(1+N(Debts!$D$7)/12),2)</f>
        <v>0</v>
      </c>
      <c r="AC281" s="56" t="n">
        <f aca="false">ROUND(S280*(1+N(Debts!$D$8)/12),2)</f>
        <v>0</v>
      </c>
      <c r="AD281" s="56" t="n">
        <f aca="false">ROUND(T280*(1+N(Debts!$D$9)/12),2)</f>
        <v>0</v>
      </c>
      <c r="AE281" s="56" t="n">
        <f aca="false">ROUND(U280*(1+N(Debts!$D$10)/12),2)</f>
        <v>0</v>
      </c>
      <c r="AF281" s="56" t="n">
        <f aca="false">ROUND(V280*(1+N(Debts!$D$11)/12),2)</f>
        <v>0</v>
      </c>
      <c r="AG281" s="56" t="n">
        <f aca="false">ROUND(W280*(1+N(Debts!$D$12)/12),2)</f>
        <v>0</v>
      </c>
      <c r="AH281" s="56" t="n">
        <f aca="false">ROUND(X280*(1+N(Debts!$D$13)/12),2)</f>
        <v>0</v>
      </c>
      <c r="AI281" s="56" t="n">
        <f aca="false">ROUND(Y280*(1+N(Debts!$D$14)/12),2)</f>
        <v>0</v>
      </c>
      <c r="AJ281" s="56" t="n">
        <f aca="false">MIN(Z281,MAX(0,N(Debts!$E$5)))</f>
        <v>0</v>
      </c>
      <c r="AK281" s="56" t="n">
        <f aca="false">MIN(AA281,MAX(0,N(Debts!$E$6)))</f>
        <v>0</v>
      </c>
      <c r="AL281" s="56" t="n">
        <f aca="false">MIN(AB281,MAX(0,N(Debts!$E$7)))</f>
        <v>0</v>
      </c>
      <c r="AM281" s="56" t="n">
        <f aca="false">MIN(AC281,MAX(0,N(Debts!$E$8)))</f>
        <v>0</v>
      </c>
      <c r="AN281" s="56" t="n">
        <f aca="false">MIN(AD281,MAX(0,N(Debts!$E$9)))</f>
        <v>0</v>
      </c>
      <c r="AO281" s="56" t="n">
        <f aca="false">MIN(AE281,MAX(0,N(Debts!$E$10)))</f>
        <v>0</v>
      </c>
      <c r="AP281" s="56" t="n">
        <f aca="false">MIN(AF281,MAX(0,N(Debts!$E$11)))</f>
        <v>0</v>
      </c>
      <c r="AQ281" s="56" t="n">
        <f aca="false">MIN(AG281,MAX(0,N(Debts!$E$12)))</f>
        <v>0</v>
      </c>
      <c r="AR281" s="56" t="n">
        <f aca="false">MIN(AH281,MAX(0,N(Debts!$E$13)))</f>
        <v>0</v>
      </c>
      <c r="AS281" s="56" t="n">
        <f aca="false">MIN(AI281,MAX(0,N(Debts!$E$14)))</f>
        <v>0</v>
      </c>
    </row>
    <row r="282" customFormat="false" ht="15" hidden="false" customHeight="false" outlineLevel="0" collapsed="false">
      <c r="A282" s="53" t="n">
        <v>278</v>
      </c>
      <c r="B282" s="54" t="n">
        <f aca="false">EDATE('Start Here'!$B$8,277)</f>
        <v>54758</v>
      </c>
      <c r="C282" s="42" t="n">
        <f aca="false">SUM(F282:O282)</f>
        <v>0</v>
      </c>
      <c r="D282" s="42" t="n">
        <f aca="false">ROUND(SUM($Z282:$AI282)-SUM(P281:Y281),2)</f>
        <v>0</v>
      </c>
      <c r="E282" s="55" t="n">
        <f aca="false">SUM(P282:Y282)</f>
        <v>0</v>
      </c>
      <c r="F282" s="42" t="n">
        <f aca="false">AJ282+MIN(Z282-AJ282,MAX(0,'Start Here'!$B$10-SUM($AJ282:$AS282)-SUMPRODUCT(($Z$3:$AI$3&lt;Z$3)*($Z282:$AI282-$AJ282:$AS282))))</f>
        <v>0</v>
      </c>
      <c r="G282" s="42" t="n">
        <f aca="false">AK282+MIN(AA282-AK282,MAX(0,'Start Here'!$B$10-SUM($AJ282:$AS282)-SUMPRODUCT(($Z$3:$AI$3&lt;AA$3)*($Z282:$AI282-$AJ282:$AS282))))</f>
        <v>0</v>
      </c>
      <c r="H282" s="42" t="n">
        <f aca="false">AL282+MIN(AB282-AL282,MAX(0,'Start Here'!$B$10-SUM($AJ282:$AS282)-SUMPRODUCT(($Z$3:$AI$3&lt;AB$3)*($Z282:$AI282-$AJ282:$AS282))))</f>
        <v>0</v>
      </c>
      <c r="I282" s="42" t="n">
        <f aca="false">AM282+MIN(AC282-AM282,MAX(0,'Start Here'!$B$10-SUM($AJ282:$AS282)-SUMPRODUCT(($Z$3:$AI$3&lt;AC$3)*($Z282:$AI282-$AJ282:$AS282))))</f>
        <v>0</v>
      </c>
      <c r="J282" s="42" t="n">
        <f aca="false">AN282+MIN(AD282-AN282,MAX(0,'Start Here'!$B$10-SUM($AJ282:$AS282)-SUMPRODUCT(($Z$3:$AI$3&lt;AD$3)*($Z282:$AI282-$AJ282:$AS282))))</f>
        <v>0</v>
      </c>
      <c r="K282" s="42" t="n">
        <f aca="false">AO282+MIN(AE282-AO282,MAX(0,'Start Here'!$B$10-SUM($AJ282:$AS282)-SUMPRODUCT(($Z$3:$AI$3&lt;AE$3)*($Z282:$AI282-$AJ282:$AS282))))</f>
        <v>0</v>
      </c>
      <c r="L282" s="42" t="n">
        <f aca="false">AP282+MIN(AF282-AP282,MAX(0,'Start Here'!$B$10-SUM($AJ282:$AS282)-SUMPRODUCT(($Z$3:$AI$3&lt;AF$3)*($Z282:$AI282-$AJ282:$AS282))))</f>
        <v>0</v>
      </c>
      <c r="M282" s="42" t="n">
        <f aca="false">AQ282+MIN(AG282-AQ282,MAX(0,'Start Here'!$B$10-SUM($AJ282:$AS282)-SUMPRODUCT(($Z$3:$AI$3&lt;AG$3)*($Z282:$AI282-$AJ282:$AS282))))</f>
        <v>0</v>
      </c>
      <c r="N282" s="42" t="n">
        <f aca="false">AR282+MIN(AH282-AR282,MAX(0,'Start Here'!$B$10-SUM($AJ282:$AS282)-SUMPRODUCT(($Z$3:$AI$3&lt;AH$3)*($Z282:$AI282-$AJ282:$AS282))))</f>
        <v>0</v>
      </c>
      <c r="O282" s="42" t="n">
        <f aca="false">AS282+MIN(AI282-AS282,MAX(0,'Start Here'!$B$10-SUM($AJ282:$AS282)-SUMPRODUCT(($Z$3:$AI$3&lt;AI$3)*($Z282:$AI282-$AJ282:$AS282))))</f>
        <v>0</v>
      </c>
      <c r="P282" s="42" t="n">
        <f aca="false">ROUND(Z282-F282,2)</f>
        <v>0</v>
      </c>
      <c r="Q282" s="42" t="n">
        <f aca="false">ROUND(AA282-G282,2)</f>
        <v>0</v>
      </c>
      <c r="R282" s="42" t="n">
        <f aca="false">ROUND(AB282-H282,2)</f>
        <v>0</v>
      </c>
      <c r="S282" s="42" t="n">
        <f aca="false">ROUND(AC282-I282,2)</f>
        <v>0</v>
      </c>
      <c r="T282" s="42" t="n">
        <f aca="false">ROUND(AD282-J282,2)</f>
        <v>0</v>
      </c>
      <c r="U282" s="42" t="n">
        <f aca="false">ROUND(AE282-K282,2)</f>
        <v>0</v>
      </c>
      <c r="V282" s="42" t="n">
        <f aca="false">ROUND(AF282-L282,2)</f>
        <v>0</v>
      </c>
      <c r="W282" s="42" t="n">
        <f aca="false">ROUND(AG282-M282,2)</f>
        <v>0</v>
      </c>
      <c r="X282" s="42" t="n">
        <f aca="false">ROUND(AH282-N282,2)</f>
        <v>0</v>
      </c>
      <c r="Y282" s="42" t="n">
        <f aca="false">ROUND(AI282-O282,2)</f>
        <v>0</v>
      </c>
      <c r="Z282" s="56" t="n">
        <f aca="false">ROUND(P281*(1+N(Debts!$D$5)/12),2)</f>
        <v>0</v>
      </c>
      <c r="AA282" s="56" t="n">
        <f aca="false">ROUND(Q281*(1+N(Debts!$D$6)/12),2)</f>
        <v>0</v>
      </c>
      <c r="AB282" s="56" t="n">
        <f aca="false">ROUND(R281*(1+N(Debts!$D$7)/12),2)</f>
        <v>0</v>
      </c>
      <c r="AC282" s="56" t="n">
        <f aca="false">ROUND(S281*(1+N(Debts!$D$8)/12),2)</f>
        <v>0</v>
      </c>
      <c r="AD282" s="56" t="n">
        <f aca="false">ROUND(T281*(1+N(Debts!$D$9)/12),2)</f>
        <v>0</v>
      </c>
      <c r="AE282" s="56" t="n">
        <f aca="false">ROUND(U281*(1+N(Debts!$D$10)/12),2)</f>
        <v>0</v>
      </c>
      <c r="AF282" s="56" t="n">
        <f aca="false">ROUND(V281*(1+N(Debts!$D$11)/12),2)</f>
        <v>0</v>
      </c>
      <c r="AG282" s="56" t="n">
        <f aca="false">ROUND(W281*(1+N(Debts!$D$12)/12),2)</f>
        <v>0</v>
      </c>
      <c r="AH282" s="56" t="n">
        <f aca="false">ROUND(X281*(1+N(Debts!$D$13)/12),2)</f>
        <v>0</v>
      </c>
      <c r="AI282" s="56" t="n">
        <f aca="false">ROUND(Y281*(1+N(Debts!$D$14)/12),2)</f>
        <v>0</v>
      </c>
      <c r="AJ282" s="56" t="n">
        <f aca="false">MIN(Z282,MAX(0,N(Debts!$E$5)))</f>
        <v>0</v>
      </c>
      <c r="AK282" s="56" t="n">
        <f aca="false">MIN(AA282,MAX(0,N(Debts!$E$6)))</f>
        <v>0</v>
      </c>
      <c r="AL282" s="56" t="n">
        <f aca="false">MIN(AB282,MAX(0,N(Debts!$E$7)))</f>
        <v>0</v>
      </c>
      <c r="AM282" s="56" t="n">
        <f aca="false">MIN(AC282,MAX(0,N(Debts!$E$8)))</f>
        <v>0</v>
      </c>
      <c r="AN282" s="56" t="n">
        <f aca="false">MIN(AD282,MAX(0,N(Debts!$E$9)))</f>
        <v>0</v>
      </c>
      <c r="AO282" s="56" t="n">
        <f aca="false">MIN(AE282,MAX(0,N(Debts!$E$10)))</f>
        <v>0</v>
      </c>
      <c r="AP282" s="56" t="n">
        <f aca="false">MIN(AF282,MAX(0,N(Debts!$E$11)))</f>
        <v>0</v>
      </c>
      <c r="AQ282" s="56" t="n">
        <f aca="false">MIN(AG282,MAX(0,N(Debts!$E$12)))</f>
        <v>0</v>
      </c>
      <c r="AR282" s="56" t="n">
        <f aca="false">MIN(AH282,MAX(0,N(Debts!$E$13)))</f>
        <v>0</v>
      </c>
      <c r="AS282" s="56" t="n">
        <f aca="false">MIN(AI282,MAX(0,N(Debts!$E$14)))</f>
        <v>0</v>
      </c>
    </row>
    <row r="283" customFormat="false" ht="15" hidden="false" customHeight="false" outlineLevel="0" collapsed="false">
      <c r="A283" s="53" t="n">
        <v>279</v>
      </c>
      <c r="B283" s="54" t="n">
        <f aca="false">EDATE('Start Here'!$B$8,278)</f>
        <v>54789</v>
      </c>
      <c r="C283" s="42" t="n">
        <f aca="false">SUM(F283:O283)</f>
        <v>0</v>
      </c>
      <c r="D283" s="42" t="n">
        <f aca="false">ROUND(SUM($Z283:$AI283)-SUM(P282:Y282),2)</f>
        <v>0</v>
      </c>
      <c r="E283" s="55" t="n">
        <f aca="false">SUM(P283:Y283)</f>
        <v>0</v>
      </c>
      <c r="F283" s="42" t="n">
        <f aca="false">AJ283+MIN(Z283-AJ283,MAX(0,'Start Here'!$B$10-SUM($AJ283:$AS283)-SUMPRODUCT(($Z$3:$AI$3&lt;Z$3)*($Z283:$AI283-$AJ283:$AS283))))</f>
        <v>0</v>
      </c>
      <c r="G283" s="42" t="n">
        <f aca="false">AK283+MIN(AA283-AK283,MAX(0,'Start Here'!$B$10-SUM($AJ283:$AS283)-SUMPRODUCT(($Z$3:$AI$3&lt;AA$3)*($Z283:$AI283-$AJ283:$AS283))))</f>
        <v>0</v>
      </c>
      <c r="H283" s="42" t="n">
        <f aca="false">AL283+MIN(AB283-AL283,MAX(0,'Start Here'!$B$10-SUM($AJ283:$AS283)-SUMPRODUCT(($Z$3:$AI$3&lt;AB$3)*($Z283:$AI283-$AJ283:$AS283))))</f>
        <v>0</v>
      </c>
      <c r="I283" s="42" t="n">
        <f aca="false">AM283+MIN(AC283-AM283,MAX(0,'Start Here'!$B$10-SUM($AJ283:$AS283)-SUMPRODUCT(($Z$3:$AI$3&lt;AC$3)*($Z283:$AI283-$AJ283:$AS283))))</f>
        <v>0</v>
      </c>
      <c r="J283" s="42" t="n">
        <f aca="false">AN283+MIN(AD283-AN283,MAX(0,'Start Here'!$B$10-SUM($AJ283:$AS283)-SUMPRODUCT(($Z$3:$AI$3&lt;AD$3)*($Z283:$AI283-$AJ283:$AS283))))</f>
        <v>0</v>
      </c>
      <c r="K283" s="42" t="n">
        <f aca="false">AO283+MIN(AE283-AO283,MAX(0,'Start Here'!$B$10-SUM($AJ283:$AS283)-SUMPRODUCT(($Z$3:$AI$3&lt;AE$3)*($Z283:$AI283-$AJ283:$AS283))))</f>
        <v>0</v>
      </c>
      <c r="L283" s="42" t="n">
        <f aca="false">AP283+MIN(AF283-AP283,MAX(0,'Start Here'!$B$10-SUM($AJ283:$AS283)-SUMPRODUCT(($Z$3:$AI$3&lt;AF$3)*($Z283:$AI283-$AJ283:$AS283))))</f>
        <v>0</v>
      </c>
      <c r="M283" s="42" t="n">
        <f aca="false">AQ283+MIN(AG283-AQ283,MAX(0,'Start Here'!$B$10-SUM($AJ283:$AS283)-SUMPRODUCT(($Z$3:$AI$3&lt;AG$3)*($Z283:$AI283-$AJ283:$AS283))))</f>
        <v>0</v>
      </c>
      <c r="N283" s="42" t="n">
        <f aca="false">AR283+MIN(AH283-AR283,MAX(0,'Start Here'!$B$10-SUM($AJ283:$AS283)-SUMPRODUCT(($Z$3:$AI$3&lt;AH$3)*($Z283:$AI283-$AJ283:$AS283))))</f>
        <v>0</v>
      </c>
      <c r="O283" s="42" t="n">
        <f aca="false">AS283+MIN(AI283-AS283,MAX(0,'Start Here'!$B$10-SUM($AJ283:$AS283)-SUMPRODUCT(($Z$3:$AI$3&lt;AI$3)*($Z283:$AI283-$AJ283:$AS283))))</f>
        <v>0</v>
      </c>
      <c r="P283" s="42" t="n">
        <f aca="false">ROUND(Z283-F283,2)</f>
        <v>0</v>
      </c>
      <c r="Q283" s="42" t="n">
        <f aca="false">ROUND(AA283-G283,2)</f>
        <v>0</v>
      </c>
      <c r="R283" s="42" t="n">
        <f aca="false">ROUND(AB283-H283,2)</f>
        <v>0</v>
      </c>
      <c r="S283" s="42" t="n">
        <f aca="false">ROUND(AC283-I283,2)</f>
        <v>0</v>
      </c>
      <c r="T283" s="42" t="n">
        <f aca="false">ROUND(AD283-J283,2)</f>
        <v>0</v>
      </c>
      <c r="U283" s="42" t="n">
        <f aca="false">ROUND(AE283-K283,2)</f>
        <v>0</v>
      </c>
      <c r="V283" s="42" t="n">
        <f aca="false">ROUND(AF283-L283,2)</f>
        <v>0</v>
      </c>
      <c r="W283" s="42" t="n">
        <f aca="false">ROUND(AG283-M283,2)</f>
        <v>0</v>
      </c>
      <c r="X283" s="42" t="n">
        <f aca="false">ROUND(AH283-N283,2)</f>
        <v>0</v>
      </c>
      <c r="Y283" s="42" t="n">
        <f aca="false">ROUND(AI283-O283,2)</f>
        <v>0</v>
      </c>
      <c r="Z283" s="56" t="n">
        <f aca="false">ROUND(P282*(1+N(Debts!$D$5)/12),2)</f>
        <v>0</v>
      </c>
      <c r="AA283" s="56" t="n">
        <f aca="false">ROUND(Q282*(1+N(Debts!$D$6)/12),2)</f>
        <v>0</v>
      </c>
      <c r="AB283" s="56" t="n">
        <f aca="false">ROUND(R282*(1+N(Debts!$D$7)/12),2)</f>
        <v>0</v>
      </c>
      <c r="AC283" s="56" t="n">
        <f aca="false">ROUND(S282*(1+N(Debts!$D$8)/12),2)</f>
        <v>0</v>
      </c>
      <c r="AD283" s="56" t="n">
        <f aca="false">ROUND(T282*(1+N(Debts!$D$9)/12),2)</f>
        <v>0</v>
      </c>
      <c r="AE283" s="56" t="n">
        <f aca="false">ROUND(U282*(1+N(Debts!$D$10)/12),2)</f>
        <v>0</v>
      </c>
      <c r="AF283" s="56" t="n">
        <f aca="false">ROUND(V282*(1+N(Debts!$D$11)/12),2)</f>
        <v>0</v>
      </c>
      <c r="AG283" s="56" t="n">
        <f aca="false">ROUND(W282*(1+N(Debts!$D$12)/12),2)</f>
        <v>0</v>
      </c>
      <c r="AH283" s="56" t="n">
        <f aca="false">ROUND(X282*(1+N(Debts!$D$13)/12),2)</f>
        <v>0</v>
      </c>
      <c r="AI283" s="56" t="n">
        <f aca="false">ROUND(Y282*(1+N(Debts!$D$14)/12),2)</f>
        <v>0</v>
      </c>
      <c r="AJ283" s="56" t="n">
        <f aca="false">MIN(Z283,MAX(0,N(Debts!$E$5)))</f>
        <v>0</v>
      </c>
      <c r="AK283" s="56" t="n">
        <f aca="false">MIN(AA283,MAX(0,N(Debts!$E$6)))</f>
        <v>0</v>
      </c>
      <c r="AL283" s="56" t="n">
        <f aca="false">MIN(AB283,MAX(0,N(Debts!$E$7)))</f>
        <v>0</v>
      </c>
      <c r="AM283" s="56" t="n">
        <f aca="false">MIN(AC283,MAX(0,N(Debts!$E$8)))</f>
        <v>0</v>
      </c>
      <c r="AN283" s="56" t="n">
        <f aca="false">MIN(AD283,MAX(0,N(Debts!$E$9)))</f>
        <v>0</v>
      </c>
      <c r="AO283" s="56" t="n">
        <f aca="false">MIN(AE283,MAX(0,N(Debts!$E$10)))</f>
        <v>0</v>
      </c>
      <c r="AP283" s="56" t="n">
        <f aca="false">MIN(AF283,MAX(0,N(Debts!$E$11)))</f>
        <v>0</v>
      </c>
      <c r="AQ283" s="56" t="n">
        <f aca="false">MIN(AG283,MAX(0,N(Debts!$E$12)))</f>
        <v>0</v>
      </c>
      <c r="AR283" s="56" t="n">
        <f aca="false">MIN(AH283,MAX(0,N(Debts!$E$13)))</f>
        <v>0</v>
      </c>
      <c r="AS283" s="56" t="n">
        <f aca="false">MIN(AI283,MAX(0,N(Debts!$E$14)))</f>
        <v>0</v>
      </c>
    </row>
    <row r="284" customFormat="false" ht="15" hidden="false" customHeight="false" outlineLevel="0" collapsed="false">
      <c r="A284" s="53" t="n">
        <v>280</v>
      </c>
      <c r="B284" s="54" t="n">
        <f aca="false">EDATE('Start Here'!$B$8,279)</f>
        <v>54820</v>
      </c>
      <c r="C284" s="42" t="n">
        <f aca="false">SUM(F284:O284)</f>
        <v>0</v>
      </c>
      <c r="D284" s="42" t="n">
        <f aca="false">ROUND(SUM($Z284:$AI284)-SUM(P283:Y283),2)</f>
        <v>0</v>
      </c>
      <c r="E284" s="55" t="n">
        <f aca="false">SUM(P284:Y284)</f>
        <v>0</v>
      </c>
      <c r="F284" s="42" t="n">
        <f aca="false">AJ284+MIN(Z284-AJ284,MAX(0,'Start Here'!$B$10-SUM($AJ284:$AS284)-SUMPRODUCT(($Z$3:$AI$3&lt;Z$3)*($Z284:$AI284-$AJ284:$AS284))))</f>
        <v>0</v>
      </c>
      <c r="G284" s="42" t="n">
        <f aca="false">AK284+MIN(AA284-AK284,MAX(0,'Start Here'!$B$10-SUM($AJ284:$AS284)-SUMPRODUCT(($Z$3:$AI$3&lt;AA$3)*($Z284:$AI284-$AJ284:$AS284))))</f>
        <v>0</v>
      </c>
      <c r="H284" s="42" t="n">
        <f aca="false">AL284+MIN(AB284-AL284,MAX(0,'Start Here'!$B$10-SUM($AJ284:$AS284)-SUMPRODUCT(($Z$3:$AI$3&lt;AB$3)*($Z284:$AI284-$AJ284:$AS284))))</f>
        <v>0</v>
      </c>
      <c r="I284" s="42" t="n">
        <f aca="false">AM284+MIN(AC284-AM284,MAX(0,'Start Here'!$B$10-SUM($AJ284:$AS284)-SUMPRODUCT(($Z$3:$AI$3&lt;AC$3)*($Z284:$AI284-$AJ284:$AS284))))</f>
        <v>0</v>
      </c>
      <c r="J284" s="42" t="n">
        <f aca="false">AN284+MIN(AD284-AN284,MAX(0,'Start Here'!$B$10-SUM($AJ284:$AS284)-SUMPRODUCT(($Z$3:$AI$3&lt;AD$3)*($Z284:$AI284-$AJ284:$AS284))))</f>
        <v>0</v>
      </c>
      <c r="K284" s="42" t="n">
        <f aca="false">AO284+MIN(AE284-AO284,MAX(0,'Start Here'!$B$10-SUM($AJ284:$AS284)-SUMPRODUCT(($Z$3:$AI$3&lt;AE$3)*($Z284:$AI284-$AJ284:$AS284))))</f>
        <v>0</v>
      </c>
      <c r="L284" s="42" t="n">
        <f aca="false">AP284+MIN(AF284-AP284,MAX(0,'Start Here'!$B$10-SUM($AJ284:$AS284)-SUMPRODUCT(($Z$3:$AI$3&lt;AF$3)*($Z284:$AI284-$AJ284:$AS284))))</f>
        <v>0</v>
      </c>
      <c r="M284" s="42" t="n">
        <f aca="false">AQ284+MIN(AG284-AQ284,MAX(0,'Start Here'!$B$10-SUM($AJ284:$AS284)-SUMPRODUCT(($Z$3:$AI$3&lt;AG$3)*($Z284:$AI284-$AJ284:$AS284))))</f>
        <v>0</v>
      </c>
      <c r="N284" s="42" t="n">
        <f aca="false">AR284+MIN(AH284-AR284,MAX(0,'Start Here'!$B$10-SUM($AJ284:$AS284)-SUMPRODUCT(($Z$3:$AI$3&lt;AH$3)*($Z284:$AI284-$AJ284:$AS284))))</f>
        <v>0</v>
      </c>
      <c r="O284" s="42" t="n">
        <f aca="false">AS284+MIN(AI284-AS284,MAX(0,'Start Here'!$B$10-SUM($AJ284:$AS284)-SUMPRODUCT(($Z$3:$AI$3&lt;AI$3)*($Z284:$AI284-$AJ284:$AS284))))</f>
        <v>0</v>
      </c>
      <c r="P284" s="42" t="n">
        <f aca="false">ROUND(Z284-F284,2)</f>
        <v>0</v>
      </c>
      <c r="Q284" s="42" t="n">
        <f aca="false">ROUND(AA284-G284,2)</f>
        <v>0</v>
      </c>
      <c r="R284" s="42" t="n">
        <f aca="false">ROUND(AB284-H284,2)</f>
        <v>0</v>
      </c>
      <c r="S284" s="42" t="n">
        <f aca="false">ROUND(AC284-I284,2)</f>
        <v>0</v>
      </c>
      <c r="T284" s="42" t="n">
        <f aca="false">ROUND(AD284-J284,2)</f>
        <v>0</v>
      </c>
      <c r="U284" s="42" t="n">
        <f aca="false">ROUND(AE284-K284,2)</f>
        <v>0</v>
      </c>
      <c r="V284" s="42" t="n">
        <f aca="false">ROUND(AF284-L284,2)</f>
        <v>0</v>
      </c>
      <c r="W284" s="42" t="n">
        <f aca="false">ROUND(AG284-M284,2)</f>
        <v>0</v>
      </c>
      <c r="X284" s="42" t="n">
        <f aca="false">ROUND(AH284-N284,2)</f>
        <v>0</v>
      </c>
      <c r="Y284" s="42" t="n">
        <f aca="false">ROUND(AI284-O284,2)</f>
        <v>0</v>
      </c>
      <c r="Z284" s="56" t="n">
        <f aca="false">ROUND(P283*(1+N(Debts!$D$5)/12),2)</f>
        <v>0</v>
      </c>
      <c r="AA284" s="56" t="n">
        <f aca="false">ROUND(Q283*(1+N(Debts!$D$6)/12),2)</f>
        <v>0</v>
      </c>
      <c r="AB284" s="56" t="n">
        <f aca="false">ROUND(R283*(1+N(Debts!$D$7)/12),2)</f>
        <v>0</v>
      </c>
      <c r="AC284" s="56" t="n">
        <f aca="false">ROUND(S283*(1+N(Debts!$D$8)/12),2)</f>
        <v>0</v>
      </c>
      <c r="AD284" s="56" t="n">
        <f aca="false">ROUND(T283*(1+N(Debts!$D$9)/12),2)</f>
        <v>0</v>
      </c>
      <c r="AE284" s="56" t="n">
        <f aca="false">ROUND(U283*(1+N(Debts!$D$10)/12),2)</f>
        <v>0</v>
      </c>
      <c r="AF284" s="56" t="n">
        <f aca="false">ROUND(V283*(1+N(Debts!$D$11)/12),2)</f>
        <v>0</v>
      </c>
      <c r="AG284" s="56" t="n">
        <f aca="false">ROUND(W283*(1+N(Debts!$D$12)/12),2)</f>
        <v>0</v>
      </c>
      <c r="AH284" s="56" t="n">
        <f aca="false">ROUND(X283*(1+N(Debts!$D$13)/12),2)</f>
        <v>0</v>
      </c>
      <c r="AI284" s="56" t="n">
        <f aca="false">ROUND(Y283*(1+N(Debts!$D$14)/12),2)</f>
        <v>0</v>
      </c>
      <c r="AJ284" s="56" t="n">
        <f aca="false">MIN(Z284,MAX(0,N(Debts!$E$5)))</f>
        <v>0</v>
      </c>
      <c r="AK284" s="56" t="n">
        <f aca="false">MIN(AA284,MAX(0,N(Debts!$E$6)))</f>
        <v>0</v>
      </c>
      <c r="AL284" s="56" t="n">
        <f aca="false">MIN(AB284,MAX(0,N(Debts!$E$7)))</f>
        <v>0</v>
      </c>
      <c r="AM284" s="56" t="n">
        <f aca="false">MIN(AC284,MAX(0,N(Debts!$E$8)))</f>
        <v>0</v>
      </c>
      <c r="AN284" s="56" t="n">
        <f aca="false">MIN(AD284,MAX(0,N(Debts!$E$9)))</f>
        <v>0</v>
      </c>
      <c r="AO284" s="56" t="n">
        <f aca="false">MIN(AE284,MAX(0,N(Debts!$E$10)))</f>
        <v>0</v>
      </c>
      <c r="AP284" s="56" t="n">
        <f aca="false">MIN(AF284,MAX(0,N(Debts!$E$11)))</f>
        <v>0</v>
      </c>
      <c r="AQ284" s="56" t="n">
        <f aca="false">MIN(AG284,MAX(0,N(Debts!$E$12)))</f>
        <v>0</v>
      </c>
      <c r="AR284" s="56" t="n">
        <f aca="false">MIN(AH284,MAX(0,N(Debts!$E$13)))</f>
        <v>0</v>
      </c>
      <c r="AS284" s="56" t="n">
        <f aca="false">MIN(AI284,MAX(0,N(Debts!$E$14)))</f>
        <v>0</v>
      </c>
    </row>
    <row r="285" customFormat="false" ht="15" hidden="false" customHeight="false" outlineLevel="0" collapsed="false">
      <c r="A285" s="53" t="n">
        <v>281</v>
      </c>
      <c r="B285" s="54" t="n">
        <f aca="false">EDATE('Start Here'!$B$8,280)</f>
        <v>54848</v>
      </c>
      <c r="C285" s="42" t="n">
        <f aca="false">SUM(F285:O285)</f>
        <v>0</v>
      </c>
      <c r="D285" s="42" t="n">
        <f aca="false">ROUND(SUM($Z285:$AI285)-SUM(P284:Y284),2)</f>
        <v>0</v>
      </c>
      <c r="E285" s="55" t="n">
        <f aca="false">SUM(P285:Y285)</f>
        <v>0</v>
      </c>
      <c r="F285" s="42" t="n">
        <f aca="false">AJ285+MIN(Z285-AJ285,MAX(0,'Start Here'!$B$10-SUM($AJ285:$AS285)-SUMPRODUCT(($Z$3:$AI$3&lt;Z$3)*($Z285:$AI285-$AJ285:$AS285))))</f>
        <v>0</v>
      </c>
      <c r="G285" s="42" t="n">
        <f aca="false">AK285+MIN(AA285-AK285,MAX(0,'Start Here'!$B$10-SUM($AJ285:$AS285)-SUMPRODUCT(($Z$3:$AI$3&lt;AA$3)*($Z285:$AI285-$AJ285:$AS285))))</f>
        <v>0</v>
      </c>
      <c r="H285" s="42" t="n">
        <f aca="false">AL285+MIN(AB285-AL285,MAX(0,'Start Here'!$B$10-SUM($AJ285:$AS285)-SUMPRODUCT(($Z$3:$AI$3&lt;AB$3)*($Z285:$AI285-$AJ285:$AS285))))</f>
        <v>0</v>
      </c>
      <c r="I285" s="42" t="n">
        <f aca="false">AM285+MIN(AC285-AM285,MAX(0,'Start Here'!$B$10-SUM($AJ285:$AS285)-SUMPRODUCT(($Z$3:$AI$3&lt;AC$3)*($Z285:$AI285-$AJ285:$AS285))))</f>
        <v>0</v>
      </c>
      <c r="J285" s="42" t="n">
        <f aca="false">AN285+MIN(AD285-AN285,MAX(0,'Start Here'!$B$10-SUM($AJ285:$AS285)-SUMPRODUCT(($Z$3:$AI$3&lt;AD$3)*($Z285:$AI285-$AJ285:$AS285))))</f>
        <v>0</v>
      </c>
      <c r="K285" s="42" t="n">
        <f aca="false">AO285+MIN(AE285-AO285,MAX(0,'Start Here'!$B$10-SUM($AJ285:$AS285)-SUMPRODUCT(($Z$3:$AI$3&lt;AE$3)*($Z285:$AI285-$AJ285:$AS285))))</f>
        <v>0</v>
      </c>
      <c r="L285" s="42" t="n">
        <f aca="false">AP285+MIN(AF285-AP285,MAX(0,'Start Here'!$B$10-SUM($AJ285:$AS285)-SUMPRODUCT(($Z$3:$AI$3&lt;AF$3)*($Z285:$AI285-$AJ285:$AS285))))</f>
        <v>0</v>
      </c>
      <c r="M285" s="42" t="n">
        <f aca="false">AQ285+MIN(AG285-AQ285,MAX(0,'Start Here'!$B$10-SUM($AJ285:$AS285)-SUMPRODUCT(($Z$3:$AI$3&lt;AG$3)*($Z285:$AI285-$AJ285:$AS285))))</f>
        <v>0</v>
      </c>
      <c r="N285" s="42" t="n">
        <f aca="false">AR285+MIN(AH285-AR285,MAX(0,'Start Here'!$B$10-SUM($AJ285:$AS285)-SUMPRODUCT(($Z$3:$AI$3&lt;AH$3)*($Z285:$AI285-$AJ285:$AS285))))</f>
        <v>0</v>
      </c>
      <c r="O285" s="42" t="n">
        <f aca="false">AS285+MIN(AI285-AS285,MAX(0,'Start Here'!$B$10-SUM($AJ285:$AS285)-SUMPRODUCT(($Z$3:$AI$3&lt;AI$3)*($Z285:$AI285-$AJ285:$AS285))))</f>
        <v>0</v>
      </c>
      <c r="P285" s="42" t="n">
        <f aca="false">ROUND(Z285-F285,2)</f>
        <v>0</v>
      </c>
      <c r="Q285" s="42" t="n">
        <f aca="false">ROUND(AA285-G285,2)</f>
        <v>0</v>
      </c>
      <c r="R285" s="42" t="n">
        <f aca="false">ROUND(AB285-H285,2)</f>
        <v>0</v>
      </c>
      <c r="S285" s="42" t="n">
        <f aca="false">ROUND(AC285-I285,2)</f>
        <v>0</v>
      </c>
      <c r="T285" s="42" t="n">
        <f aca="false">ROUND(AD285-J285,2)</f>
        <v>0</v>
      </c>
      <c r="U285" s="42" t="n">
        <f aca="false">ROUND(AE285-K285,2)</f>
        <v>0</v>
      </c>
      <c r="V285" s="42" t="n">
        <f aca="false">ROUND(AF285-L285,2)</f>
        <v>0</v>
      </c>
      <c r="W285" s="42" t="n">
        <f aca="false">ROUND(AG285-M285,2)</f>
        <v>0</v>
      </c>
      <c r="X285" s="42" t="n">
        <f aca="false">ROUND(AH285-N285,2)</f>
        <v>0</v>
      </c>
      <c r="Y285" s="42" t="n">
        <f aca="false">ROUND(AI285-O285,2)</f>
        <v>0</v>
      </c>
      <c r="Z285" s="56" t="n">
        <f aca="false">ROUND(P284*(1+N(Debts!$D$5)/12),2)</f>
        <v>0</v>
      </c>
      <c r="AA285" s="56" t="n">
        <f aca="false">ROUND(Q284*(1+N(Debts!$D$6)/12),2)</f>
        <v>0</v>
      </c>
      <c r="AB285" s="56" t="n">
        <f aca="false">ROUND(R284*(1+N(Debts!$D$7)/12),2)</f>
        <v>0</v>
      </c>
      <c r="AC285" s="56" t="n">
        <f aca="false">ROUND(S284*(1+N(Debts!$D$8)/12),2)</f>
        <v>0</v>
      </c>
      <c r="AD285" s="56" t="n">
        <f aca="false">ROUND(T284*(1+N(Debts!$D$9)/12),2)</f>
        <v>0</v>
      </c>
      <c r="AE285" s="56" t="n">
        <f aca="false">ROUND(U284*(1+N(Debts!$D$10)/12),2)</f>
        <v>0</v>
      </c>
      <c r="AF285" s="56" t="n">
        <f aca="false">ROUND(V284*(1+N(Debts!$D$11)/12),2)</f>
        <v>0</v>
      </c>
      <c r="AG285" s="56" t="n">
        <f aca="false">ROUND(W284*(1+N(Debts!$D$12)/12),2)</f>
        <v>0</v>
      </c>
      <c r="AH285" s="56" t="n">
        <f aca="false">ROUND(X284*(1+N(Debts!$D$13)/12),2)</f>
        <v>0</v>
      </c>
      <c r="AI285" s="56" t="n">
        <f aca="false">ROUND(Y284*(1+N(Debts!$D$14)/12),2)</f>
        <v>0</v>
      </c>
      <c r="AJ285" s="56" t="n">
        <f aca="false">MIN(Z285,MAX(0,N(Debts!$E$5)))</f>
        <v>0</v>
      </c>
      <c r="AK285" s="56" t="n">
        <f aca="false">MIN(AA285,MAX(0,N(Debts!$E$6)))</f>
        <v>0</v>
      </c>
      <c r="AL285" s="56" t="n">
        <f aca="false">MIN(AB285,MAX(0,N(Debts!$E$7)))</f>
        <v>0</v>
      </c>
      <c r="AM285" s="56" t="n">
        <f aca="false">MIN(AC285,MAX(0,N(Debts!$E$8)))</f>
        <v>0</v>
      </c>
      <c r="AN285" s="56" t="n">
        <f aca="false">MIN(AD285,MAX(0,N(Debts!$E$9)))</f>
        <v>0</v>
      </c>
      <c r="AO285" s="56" t="n">
        <f aca="false">MIN(AE285,MAX(0,N(Debts!$E$10)))</f>
        <v>0</v>
      </c>
      <c r="AP285" s="56" t="n">
        <f aca="false">MIN(AF285,MAX(0,N(Debts!$E$11)))</f>
        <v>0</v>
      </c>
      <c r="AQ285" s="56" t="n">
        <f aca="false">MIN(AG285,MAX(0,N(Debts!$E$12)))</f>
        <v>0</v>
      </c>
      <c r="AR285" s="56" t="n">
        <f aca="false">MIN(AH285,MAX(0,N(Debts!$E$13)))</f>
        <v>0</v>
      </c>
      <c r="AS285" s="56" t="n">
        <f aca="false">MIN(AI285,MAX(0,N(Debts!$E$14)))</f>
        <v>0</v>
      </c>
    </row>
    <row r="286" customFormat="false" ht="15" hidden="false" customHeight="false" outlineLevel="0" collapsed="false">
      <c r="A286" s="53" t="n">
        <v>282</v>
      </c>
      <c r="B286" s="54" t="n">
        <f aca="false">EDATE('Start Here'!$B$8,281)</f>
        <v>54879</v>
      </c>
      <c r="C286" s="42" t="n">
        <f aca="false">SUM(F286:O286)</f>
        <v>0</v>
      </c>
      <c r="D286" s="42" t="n">
        <f aca="false">ROUND(SUM($Z286:$AI286)-SUM(P285:Y285),2)</f>
        <v>0</v>
      </c>
      <c r="E286" s="55" t="n">
        <f aca="false">SUM(P286:Y286)</f>
        <v>0</v>
      </c>
      <c r="F286" s="42" t="n">
        <f aca="false">AJ286+MIN(Z286-AJ286,MAX(0,'Start Here'!$B$10-SUM($AJ286:$AS286)-SUMPRODUCT(($Z$3:$AI$3&lt;Z$3)*($Z286:$AI286-$AJ286:$AS286))))</f>
        <v>0</v>
      </c>
      <c r="G286" s="42" t="n">
        <f aca="false">AK286+MIN(AA286-AK286,MAX(0,'Start Here'!$B$10-SUM($AJ286:$AS286)-SUMPRODUCT(($Z$3:$AI$3&lt;AA$3)*($Z286:$AI286-$AJ286:$AS286))))</f>
        <v>0</v>
      </c>
      <c r="H286" s="42" t="n">
        <f aca="false">AL286+MIN(AB286-AL286,MAX(0,'Start Here'!$B$10-SUM($AJ286:$AS286)-SUMPRODUCT(($Z$3:$AI$3&lt;AB$3)*($Z286:$AI286-$AJ286:$AS286))))</f>
        <v>0</v>
      </c>
      <c r="I286" s="42" t="n">
        <f aca="false">AM286+MIN(AC286-AM286,MAX(0,'Start Here'!$B$10-SUM($AJ286:$AS286)-SUMPRODUCT(($Z$3:$AI$3&lt;AC$3)*($Z286:$AI286-$AJ286:$AS286))))</f>
        <v>0</v>
      </c>
      <c r="J286" s="42" t="n">
        <f aca="false">AN286+MIN(AD286-AN286,MAX(0,'Start Here'!$B$10-SUM($AJ286:$AS286)-SUMPRODUCT(($Z$3:$AI$3&lt;AD$3)*($Z286:$AI286-$AJ286:$AS286))))</f>
        <v>0</v>
      </c>
      <c r="K286" s="42" t="n">
        <f aca="false">AO286+MIN(AE286-AO286,MAX(0,'Start Here'!$B$10-SUM($AJ286:$AS286)-SUMPRODUCT(($Z$3:$AI$3&lt;AE$3)*($Z286:$AI286-$AJ286:$AS286))))</f>
        <v>0</v>
      </c>
      <c r="L286" s="42" t="n">
        <f aca="false">AP286+MIN(AF286-AP286,MAX(0,'Start Here'!$B$10-SUM($AJ286:$AS286)-SUMPRODUCT(($Z$3:$AI$3&lt;AF$3)*($Z286:$AI286-$AJ286:$AS286))))</f>
        <v>0</v>
      </c>
      <c r="M286" s="42" t="n">
        <f aca="false">AQ286+MIN(AG286-AQ286,MAX(0,'Start Here'!$B$10-SUM($AJ286:$AS286)-SUMPRODUCT(($Z$3:$AI$3&lt;AG$3)*($Z286:$AI286-$AJ286:$AS286))))</f>
        <v>0</v>
      </c>
      <c r="N286" s="42" t="n">
        <f aca="false">AR286+MIN(AH286-AR286,MAX(0,'Start Here'!$B$10-SUM($AJ286:$AS286)-SUMPRODUCT(($Z$3:$AI$3&lt;AH$3)*($Z286:$AI286-$AJ286:$AS286))))</f>
        <v>0</v>
      </c>
      <c r="O286" s="42" t="n">
        <f aca="false">AS286+MIN(AI286-AS286,MAX(0,'Start Here'!$B$10-SUM($AJ286:$AS286)-SUMPRODUCT(($Z$3:$AI$3&lt;AI$3)*($Z286:$AI286-$AJ286:$AS286))))</f>
        <v>0</v>
      </c>
      <c r="P286" s="42" t="n">
        <f aca="false">ROUND(Z286-F286,2)</f>
        <v>0</v>
      </c>
      <c r="Q286" s="42" t="n">
        <f aca="false">ROUND(AA286-G286,2)</f>
        <v>0</v>
      </c>
      <c r="R286" s="42" t="n">
        <f aca="false">ROUND(AB286-H286,2)</f>
        <v>0</v>
      </c>
      <c r="S286" s="42" t="n">
        <f aca="false">ROUND(AC286-I286,2)</f>
        <v>0</v>
      </c>
      <c r="T286" s="42" t="n">
        <f aca="false">ROUND(AD286-J286,2)</f>
        <v>0</v>
      </c>
      <c r="U286" s="42" t="n">
        <f aca="false">ROUND(AE286-K286,2)</f>
        <v>0</v>
      </c>
      <c r="V286" s="42" t="n">
        <f aca="false">ROUND(AF286-L286,2)</f>
        <v>0</v>
      </c>
      <c r="W286" s="42" t="n">
        <f aca="false">ROUND(AG286-M286,2)</f>
        <v>0</v>
      </c>
      <c r="X286" s="42" t="n">
        <f aca="false">ROUND(AH286-N286,2)</f>
        <v>0</v>
      </c>
      <c r="Y286" s="42" t="n">
        <f aca="false">ROUND(AI286-O286,2)</f>
        <v>0</v>
      </c>
      <c r="Z286" s="56" t="n">
        <f aca="false">ROUND(P285*(1+N(Debts!$D$5)/12),2)</f>
        <v>0</v>
      </c>
      <c r="AA286" s="56" t="n">
        <f aca="false">ROUND(Q285*(1+N(Debts!$D$6)/12),2)</f>
        <v>0</v>
      </c>
      <c r="AB286" s="56" t="n">
        <f aca="false">ROUND(R285*(1+N(Debts!$D$7)/12),2)</f>
        <v>0</v>
      </c>
      <c r="AC286" s="56" t="n">
        <f aca="false">ROUND(S285*(1+N(Debts!$D$8)/12),2)</f>
        <v>0</v>
      </c>
      <c r="AD286" s="56" t="n">
        <f aca="false">ROUND(T285*(1+N(Debts!$D$9)/12),2)</f>
        <v>0</v>
      </c>
      <c r="AE286" s="56" t="n">
        <f aca="false">ROUND(U285*(1+N(Debts!$D$10)/12),2)</f>
        <v>0</v>
      </c>
      <c r="AF286" s="56" t="n">
        <f aca="false">ROUND(V285*(1+N(Debts!$D$11)/12),2)</f>
        <v>0</v>
      </c>
      <c r="AG286" s="56" t="n">
        <f aca="false">ROUND(W285*(1+N(Debts!$D$12)/12),2)</f>
        <v>0</v>
      </c>
      <c r="AH286" s="56" t="n">
        <f aca="false">ROUND(X285*(1+N(Debts!$D$13)/12),2)</f>
        <v>0</v>
      </c>
      <c r="AI286" s="56" t="n">
        <f aca="false">ROUND(Y285*(1+N(Debts!$D$14)/12),2)</f>
        <v>0</v>
      </c>
      <c r="AJ286" s="56" t="n">
        <f aca="false">MIN(Z286,MAX(0,N(Debts!$E$5)))</f>
        <v>0</v>
      </c>
      <c r="AK286" s="56" t="n">
        <f aca="false">MIN(AA286,MAX(0,N(Debts!$E$6)))</f>
        <v>0</v>
      </c>
      <c r="AL286" s="56" t="n">
        <f aca="false">MIN(AB286,MAX(0,N(Debts!$E$7)))</f>
        <v>0</v>
      </c>
      <c r="AM286" s="56" t="n">
        <f aca="false">MIN(AC286,MAX(0,N(Debts!$E$8)))</f>
        <v>0</v>
      </c>
      <c r="AN286" s="56" t="n">
        <f aca="false">MIN(AD286,MAX(0,N(Debts!$E$9)))</f>
        <v>0</v>
      </c>
      <c r="AO286" s="56" t="n">
        <f aca="false">MIN(AE286,MAX(0,N(Debts!$E$10)))</f>
        <v>0</v>
      </c>
      <c r="AP286" s="56" t="n">
        <f aca="false">MIN(AF286,MAX(0,N(Debts!$E$11)))</f>
        <v>0</v>
      </c>
      <c r="AQ286" s="56" t="n">
        <f aca="false">MIN(AG286,MAX(0,N(Debts!$E$12)))</f>
        <v>0</v>
      </c>
      <c r="AR286" s="56" t="n">
        <f aca="false">MIN(AH286,MAX(0,N(Debts!$E$13)))</f>
        <v>0</v>
      </c>
      <c r="AS286" s="56" t="n">
        <f aca="false">MIN(AI286,MAX(0,N(Debts!$E$14)))</f>
        <v>0</v>
      </c>
    </row>
    <row r="287" customFormat="false" ht="15" hidden="false" customHeight="false" outlineLevel="0" collapsed="false">
      <c r="A287" s="53" t="n">
        <v>283</v>
      </c>
      <c r="B287" s="54" t="n">
        <f aca="false">EDATE('Start Here'!$B$8,282)</f>
        <v>54909</v>
      </c>
      <c r="C287" s="42" t="n">
        <f aca="false">SUM(F287:O287)</f>
        <v>0</v>
      </c>
      <c r="D287" s="42" t="n">
        <f aca="false">ROUND(SUM($Z287:$AI287)-SUM(P286:Y286),2)</f>
        <v>0</v>
      </c>
      <c r="E287" s="55" t="n">
        <f aca="false">SUM(P287:Y287)</f>
        <v>0</v>
      </c>
      <c r="F287" s="42" t="n">
        <f aca="false">AJ287+MIN(Z287-AJ287,MAX(0,'Start Here'!$B$10-SUM($AJ287:$AS287)-SUMPRODUCT(($Z$3:$AI$3&lt;Z$3)*($Z287:$AI287-$AJ287:$AS287))))</f>
        <v>0</v>
      </c>
      <c r="G287" s="42" t="n">
        <f aca="false">AK287+MIN(AA287-AK287,MAX(0,'Start Here'!$B$10-SUM($AJ287:$AS287)-SUMPRODUCT(($Z$3:$AI$3&lt;AA$3)*($Z287:$AI287-$AJ287:$AS287))))</f>
        <v>0</v>
      </c>
      <c r="H287" s="42" t="n">
        <f aca="false">AL287+MIN(AB287-AL287,MAX(0,'Start Here'!$B$10-SUM($AJ287:$AS287)-SUMPRODUCT(($Z$3:$AI$3&lt;AB$3)*($Z287:$AI287-$AJ287:$AS287))))</f>
        <v>0</v>
      </c>
      <c r="I287" s="42" t="n">
        <f aca="false">AM287+MIN(AC287-AM287,MAX(0,'Start Here'!$B$10-SUM($AJ287:$AS287)-SUMPRODUCT(($Z$3:$AI$3&lt;AC$3)*($Z287:$AI287-$AJ287:$AS287))))</f>
        <v>0</v>
      </c>
      <c r="J287" s="42" t="n">
        <f aca="false">AN287+MIN(AD287-AN287,MAX(0,'Start Here'!$B$10-SUM($AJ287:$AS287)-SUMPRODUCT(($Z$3:$AI$3&lt;AD$3)*($Z287:$AI287-$AJ287:$AS287))))</f>
        <v>0</v>
      </c>
      <c r="K287" s="42" t="n">
        <f aca="false">AO287+MIN(AE287-AO287,MAX(0,'Start Here'!$B$10-SUM($AJ287:$AS287)-SUMPRODUCT(($Z$3:$AI$3&lt;AE$3)*($Z287:$AI287-$AJ287:$AS287))))</f>
        <v>0</v>
      </c>
      <c r="L287" s="42" t="n">
        <f aca="false">AP287+MIN(AF287-AP287,MAX(0,'Start Here'!$B$10-SUM($AJ287:$AS287)-SUMPRODUCT(($Z$3:$AI$3&lt;AF$3)*($Z287:$AI287-$AJ287:$AS287))))</f>
        <v>0</v>
      </c>
      <c r="M287" s="42" t="n">
        <f aca="false">AQ287+MIN(AG287-AQ287,MAX(0,'Start Here'!$B$10-SUM($AJ287:$AS287)-SUMPRODUCT(($Z$3:$AI$3&lt;AG$3)*($Z287:$AI287-$AJ287:$AS287))))</f>
        <v>0</v>
      </c>
      <c r="N287" s="42" t="n">
        <f aca="false">AR287+MIN(AH287-AR287,MAX(0,'Start Here'!$B$10-SUM($AJ287:$AS287)-SUMPRODUCT(($Z$3:$AI$3&lt;AH$3)*($Z287:$AI287-$AJ287:$AS287))))</f>
        <v>0</v>
      </c>
      <c r="O287" s="42" t="n">
        <f aca="false">AS287+MIN(AI287-AS287,MAX(0,'Start Here'!$B$10-SUM($AJ287:$AS287)-SUMPRODUCT(($Z$3:$AI$3&lt;AI$3)*($Z287:$AI287-$AJ287:$AS287))))</f>
        <v>0</v>
      </c>
      <c r="P287" s="42" t="n">
        <f aca="false">ROUND(Z287-F287,2)</f>
        <v>0</v>
      </c>
      <c r="Q287" s="42" t="n">
        <f aca="false">ROUND(AA287-G287,2)</f>
        <v>0</v>
      </c>
      <c r="R287" s="42" t="n">
        <f aca="false">ROUND(AB287-H287,2)</f>
        <v>0</v>
      </c>
      <c r="S287" s="42" t="n">
        <f aca="false">ROUND(AC287-I287,2)</f>
        <v>0</v>
      </c>
      <c r="T287" s="42" t="n">
        <f aca="false">ROUND(AD287-J287,2)</f>
        <v>0</v>
      </c>
      <c r="U287" s="42" t="n">
        <f aca="false">ROUND(AE287-K287,2)</f>
        <v>0</v>
      </c>
      <c r="V287" s="42" t="n">
        <f aca="false">ROUND(AF287-L287,2)</f>
        <v>0</v>
      </c>
      <c r="W287" s="42" t="n">
        <f aca="false">ROUND(AG287-M287,2)</f>
        <v>0</v>
      </c>
      <c r="X287" s="42" t="n">
        <f aca="false">ROUND(AH287-N287,2)</f>
        <v>0</v>
      </c>
      <c r="Y287" s="42" t="n">
        <f aca="false">ROUND(AI287-O287,2)</f>
        <v>0</v>
      </c>
      <c r="Z287" s="56" t="n">
        <f aca="false">ROUND(P286*(1+N(Debts!$D$5)/12),2)</f>
        <v>0</v>
      </c>
      <c r="AA287" s="56" t="n">
        <f aca="false">ROUND(Q286*(1+N(Debts!$D$6)/12),2)</f>
        <v>0</v>
      </c>
      <c r="AB287" s="56" t="n">
        <f aca="false">ROUND(R286*(1+N(Debts!$D$7)/12),2)</f>
        <v>0</v>
      </c>
      <c r="AC287" s="56" t="n">
        <f aca="false">ROUND(S286*(1+N(Debts!$D$8)/12),2)</f>
        <v>0</v>
      </c>
      <c r="AD287" s="56" t="n">
        <f aca="false">ROUND(T286*(1+N(Debts!$D$9)/12),2)</f>
        <v>0</v>
      </c>
      <c r="AE287" s="56" t="n">
        <f aca="false">ROUND(U286*(1+N(Debts!$D$10)/12),2)</f>
        <v>0</v>
      </c>
      <c r="AF287" s="56" t="n">
        <f aca="false">ROUND(V286*(1+N(Debts!$D$11)/12),2)</f>
        <v>0</v>
      </c>
      <c r="AG287" s="56" t="n">
        <f aca="false">ROUND(W286*(1+N(Debts!$D$12)/12),2)</f>
        <v>0</v>
      </c>
      <c r="AH287" s="56" t="n">
        <f aca="false">ROUND(X286*(1+N(Debts!$D$13)/12),2)</f>
        <v>0</v>
      </c>
      <c r="AI287" s="56" t="n">
        <f aca="false">ROUND(Y286*(1+N(Debts!$D$14)/12),2)</f>
        <v>0</v>
      </c>
      <c r="AJ287" s="56" t="n">
        <f aca="false">MIN(Z287,MAX(0,N(Debts!$E$5)))</f>
        <v>0</v>
      </c>
      <c r="AK287" s="56" t="n">
        <f aca="false">MIN(AA287,MAX(0,N(Debts!$E$6)))</f>
        <v>0</v>
      </c>
      <c r="AL287" s="56" t="n">
        <f aca="false">MIN(AB287,MAX(0,N(Debts!$E$7)))</f>
        <v>0</v>
      </c>
      <c r="AM287" s="56" t="n">
        <f aca="false">MIN(AC287,MAX(0,N(Debts!$E$8)))</f>
        <v>0</v>
      </c>
      <c r="AN287" s="56" t="n">
        <f aca="false">MIN(AD287,MAX(0,N(Debts!$E$9)))</f>
        <v>0</v>
      </c>
      <c r="AO287" s="56" t="n">
        <f aca="false">MIN(AE287,MAX(0,N(Debts!$E$10)))</f>
        <v>0</v>
      </c>
      <c r="AP287" s="56" t="n">
        <f aca="false">MIN(AF287,MAX(0,N(Debts!$E$11)))</f>
        <v>0</v>
      </c>
      <c r="AQ287" s="56" t="n">
        <f aca="false">MIN(AG287,MAX(0,N(Debts!$E$12)))</f>
        <v>0</v>
      </c>
      <c r="AR287" s="56" t="n">
        <f aca="false">MIN(AH287,MAX(0,N(Debts!$E$13)))</f>
        <v>0</v>
      </c>
      <c r="AS287" s="56" t="n">
        <f aca="false">MIN(AI287,MAX(0,N(Debts!$E$14)))</f>
        <v>0</v>
      </c>
    </row>
    <row r="288" customFormat="false" ht="15" hidden="false" customHeight="false" outlineLevel="0" collapsed="false">
      <c r="A288" s="53" t="n">
        <v>284</v>
      </c>
      <c r="B288" s="54" t="n">
        <f aca="false">EDATE('Start Here'!$B$8,283)</f>
        <v>54940</v>
      </c>
      <c r="C288" s="42" t="n">
        <f aca="false">SUM(F288:O288)</f>
        <v>0</v>
      </c>
      <c r="D288" s="42" t="n">
        <f aca="false">ROUND(SUM($Z288:$AI288)-SUM(P287:Y287),2)</f>
        <v>0</v>
      </c>
      <c r="E288" s="55" t="n">
        <f aca="false">SUM(P288:Y288)</f>
        <v>0</v>
      </c>
      <c r="F288" s="42" t="n">
        <f aca="false">AJ288+MIN(Z288-AJ288,MAX(0,'Start Here'!$B$10-SUM($AJ288:$AS288)-SUMPRODUCT(($Z$3:$AI$3&lt;Z$3)*($Z288:$AI288-$AJ288:$AS288))))</f>
        <v>0</v>
      </c>
      <c r="G288" s="42" t="n">
        <f aca="false">AK288+MIN(AA288-AK288,MAX(0,'Start Here'!$B$10-SUM($AJ288:$AS288)-SUMPRODUCT(($Z$3:$AI$3&lt;AA$3)*($Z288:$AI288-$AJ288:$AS288))))</f>
        <v>0</v>
      </c>
      <c r="H288" s="42" t="n">
        <f aca="false">AL288+MIN(AB288-AL288,MAX(0,'Start Here'!$B$10-SUM($AJ288:$AS288)-SUMPRODUCT(($Z$3:$AI$3&lt;AB$3)*($Z288:$AI288-$AJ288:$AS288))))</f>
        <v>0</v>
      </c>
      <c r="I288" s="42" t="n">
        <f aca="false">AM288+MIN(AC288-AM288,MAX(0,'Start Here'!$B$10-SUM($AJ288:$AS288)-SUMPRODUCT(($Z$3:$AI$3&lt;AC$3)*($Z288:$AI288-$AJ288:$AS288))))</f>
        <v>0</v>
      </c>
      <c r="J288" s="42" t="n">
        <f aca="false">AN288+MIN(AD288-AN288,MAX(0,'Start Here'!$B$10-SUM($AJ288:$AS288)-SUMPRODUCT(($Z$3:$AI$3&lt;AD$3)*($Z288:$AI288-$AJ288:$AS288))))</f>
        <v>0</v>
      </c>
      <c r="K288" s="42" t="n">
        <f aca="false">AO288+MIN(AE288-AO288,MAX(0,'Start Here'!$B$10-SUM($AJ288:$AS288)-SUMPRODUCT(($Z$3:$AI$3&lt;AE$3)*($Z288:$AI288-$AJ288:$AS288))))</f>
        <v>0</v>
      </c>
      <c r="L288" s="42" t="n">
        <f aca="false">AP288+MIN(AF288-AP288,MAX(0,'Start Here'!$B$10-SUM($AJ288:$AS288)-SUMPRODUCT(($Z$3:$AI$3&lt;AF$3)*($Z288:$AI288-$AJ288:$AS288))))</f>
        <v>0</v>
      </c>
      <c r="M288" s="42" t="n">
        <f aca="false">AQ288+MIN(AG288-AQ288,MAX(0,'Start Here'!$B$10-SUM($AJ288:$AS288)-SUMPRODUCT(($Z$3:$AI$3&lt;AG$3)*($Z288:$AI288-$AJ288:$AS288))))</f>
        <v>0</v>
      </c>
      <c r="N288" s="42" t="n">
        <f aca="false">AR288+MIN(AH288-AR288,MAX(0,'Start Here'!$B$10-SUM($AJ288:$AS288)-SUMPRODUCT(($Z$3:$AI$3&lt;AH$3)*($Z288:$AI288-$AJ288:$AS288))))</f>
        <v>0</v>
      </c>
      <c r="O288" s="42" t="n">
        <f aca="false">AS288+MIN(AI288-AS288,MAX(0,'Start Here'!$B$10-SUM($AJ288:$AS288)-SUMPRODUCT(($Z$3:$AI$3&lt;AI$3)*($Z288:$AI288-$AJ288:$AS288))))</f>
        <v>0</v>
      </c>
      <c r="P288" s="42" t="n">
        <f aca="false">ROUND(Z288-F288,2)</f>
        <v>0</v>
      </c>
      <c r="Q288" s="42" t="n">
        <f aca="false">ROUND(AA288-G288,2)</f>
        <v>0</v>
      </c>
      <c r="R288" s="42" t="n">
        <f aca="false">ROUND(AB288-H288,2)</f>
        <v>0</v>
      </c>
      <c r="S288" s="42" t="n">
        <f aca="false">ROUND(AC288-I288,2)</f>
        <v>0</v>
      </c>
      <c r="T288" s="42" t="n">
        <f aca="false">ROUND(AD288-J288,2)</f>
        <v>0</v>
      </c>
      <c r="U288" s="42" t="n">
        <f aca="false">ROUND(AE288-K288,2)</f>
        <v>0</v>
      </c>
      <c r="V288" s="42" t="n">
        <f aca="false">ROUND(AF288-L288,2)</f>
        <v>0</v>
      </c>
      <c r="W288" s="42" t="n">
        <f aca="false">ROUND(AG288-M288,2)</f>
        <v>0</v>
      </c>
      <c r="X288" s="42" t="n">
        <f aca="false">ROUND(AH288-N288,2)</f>
        <v>0</v>
      </c>
      <c r="Y288" s="42" t="n">
        <f aca="false">ROUND(AI288-O288,2)</f>
        <v>0</v>
      </c>
      <c r="Z288" s="56" t="n">
        <f aca="false">ROUND(P287*(1+N(Debts!$D$5)/12),2)</f>
        <v>0</v>
      </c>
      <c r="AA288" s="56" t="n">
        <f aca="false">ROUND(Q287*(1+N(Debts!$D$6)/12),2)</f>
        <v>0</v>
      </c>
      <c r="AB288" s="56" t="n">
        <f aca="false">ROUND(R287*(1+N(Debts!$D$7)/12),2)</f>
        <v>0</v>
      </c>
      <c r="AC288" s="56" t="n">
        <f aca="false">ROUND(S287*(1+N(Debts!$D$8)/12),2)</f>
        <v>0</v>
      </c>
      <c r="AD288" s="56" t="n">
        <f aca="false">ROUND(T287*(1+N(Debts!$D$9)/12),2)</f>
        <v>0</v>
      </c>
      <c r="AE288" s="56" t="n">
        <f aca="false">ROUND(U287*(1+N(Debts!$D$10)/12),2)</f>
        <v>0</v>
      </c>
      <c r="AF288" s="56" t="n">
        <f aca="false">ROUND(V287*(1+N(Debts!$D$11)/12),2)</f>
        <v>0</v>
      </c>
      <c r="AG288" s="56" t="n">
        <f aca="false">ROUND(W287*(1+N(Debts!$D$12)/12),2)</f>
        <v>0</v>
      </c>
      <c r="AH288" s="56" t="n">
        <f aca="false">ROUND(X287*(1+N(Debts!$D$13)/12),2)</f>
        <v>0</v>
      </c>
      <c r="AI288" s="56" t="n">
        <f aca="false">ROUND(Y287*(1+N(Debts!$D$14)/12),2)</f>
        <v>0</v>
      </c>
      <c r="AJ288" s="56" t="n">
        <f aca="false">MIN(Z288,MAX(0,N(Debts!$E$5)))</f>
        <v>0</v>
      </c>
      <c r="AK288" s="56" t="n">
        <f aca="false">MIN(AA288,MAX(0,N(Debts!$E$6)))</f>
        <v>0</v>
      </c>
      <c r="AL288" s="56" t="n">
        <f aca="false">MIN(AB288,MAX(0,N(Debts!$E$7)))</f>
        <v>0</v>
      </c>
      <c r="AM288" s="56" t="n">
        <f aca="false">MIN(AC288,MAX(0,N(Debts!$E$8)))</f>
        <v>0</v>
      </c>
      <c r="AN288" s="56" t="n">
        <f aca="false">MIN(AD288,MAX(0,N(Debts!$E$9)))</f>
        <v>0</v>
      </c>
      <c r="AO288" s="56" t="n">
        <f aca="false">MIN(AE288,MAX(0,N(Debts!$E$10)))</f>
        <v>0</v>
      </c>
      <c r="AP288" s="56" t="n">
        <f aca="false">MIN(AF288,MAX(0,N(Debts!$E$11)))</f>
        <v>0</v>
      </c>
      <c r="AQ288" s="56" t="n">
        <f aca="false">MIN(AG288,MAX(0,N(Debts!$E$12)))</f>
        <v>0</v>
      </c>
      <c r="AR288" s="56" t="n">
        <f aca="false">MIN(AH288,MAX(0,N(Debts!$E$13)))</f>
        <v>0</v>
      </c>
      <c r="AS288" s="56" t="n">
        <f aca="false">MIN(AI288,MAX(0,N(Debts!$E$14)))</f>
        <v>0</v>
      </c>
    </row>
    <row r="289" customFormat="false" ht="15" hidden="false" customHeight="false" outlineLevel="0" collapsed="false">
      <c r="A289" s="53" t="n">
        <v>285</v>
      </c>
      <c r="B289" s="54" t="n">
        <f aca="false">EDATE('Start Here'!$B$8,284)</f>
        <v>54970</v>
      </c>
      <c r="C289" s="42" t="n">
        <f aca="false">SUM(F289:O289)</f>
        <v>0</v>
      </c>
      <c r="D289" s="42" t="n">
        <f aca="false">ROUND(SUM($Z289:$AI289)-SUM(P288:Y288),2)</f>
        <v>0</v>
      </c>
      <c r="E289" s="55" t="n">
        <f aca="false">SUM(P289:Y289)</f>
        <v>0</v>
      </c>
      <c r="F289" s="42" t="n">
        <f aca="false">AJ289+MIN(Z289-AJ289,MAX(0,'Start Here'!$B$10-SUM($AJ289:$AS289)-SUMPRODUCT(($Z$3:$AI$3&lt;Z$3)*($Z289:$AI289-$AJ289:$AS289))))</f>
        <v>0</v>
      </c>
      <c r="G289" s="42" t="n">
        <f aca="false">AK289+MIN(AA289-AK289,MAX(0,'Start Here'!$B$10-SUM($AJ289:$AS289)-SUMPRODUCT(($Z$3:$AI$3&lt;AA$3)*($Z289:$AI289-$AJ289:$AS289))))</f>
        <v>0</v>
      </c>
      <c r="H289" s="42" t="n">
        <f aca="false">AL289+MIN(AB289-AL289,MAX(0,'Start Here'!$B$10-SUM($AJ289:$AS289)-SUMPRODUCT(($Z$3:$AI$3&lt;AB$3)*($Z289:$AI289-$AJ289:$AS289))))</f>
        <v>0</v>
      </c>
      <c r="I289" s="42" t="n">
        <f aca="false">AM289+MIN(AC289-AM289,MAX(0,'Start Here'!$B$10-SUM($AJ289:$AS289)-SUMPRODUCT(($Z$3:$AI$3&lt;AC$3)*($Z289:$AI289-$AJ289:$AS289))))</f>
        <v>0</v>
      </c>
      <c r="J289" s="42" t="n">
        <f aca="false">AN289+MIN(AD289-AN289,MAX(0,'Start Here'!$B$10-SUM($AJ289:$AS289)-SUMPRODUCT(($Z$3:$AI$3&lt;AD$3)*($Z289:$AI289-$AJ289:$AS289))))</f>
        <v>0</v>
      </c>
      <c r="K289" s="42" t="n">
        <f aca="false">AO289+MIN(AE289-AO289,MAX(0,'Start Here'!$B$10-SUM($AJ289:$AS289)-SUMPRODUCT(($Z$3:$AI$3&lt;AE$3)*($Z289:$AI289-$AJ289:$AS289))))</f>
        <v>0</v>
      </c>
      <c r="L289" s="42" t="n">
        <f aca="false">AP289+MIN(AF289-AP289,MAX(0,'Start Here'!$B$10-SUM($AJ289:$AS289)-SUMPRODUCT(($Z$3:$AI$3&lt;AF$3)*($Z289:$AI289-$AJ289:$AS289))))</f>
        <v>0</v>
      </c>
      <c r="M289" s="42" t="n">
        <f aca="false">AQ289+MIN(AG289-AQ289,MAX(0,'Start Here'!$B$10-SUM($AJ289:$AS289)-SUMPRODUCT(($Z$3:$AI$3&lt;AG$3)*($Z289:$AI289-$AJ289:$AS289))))</f>
        <v>0</v>
      </c>
      <c r="N289" s="42" t="n">
        <f aca="false">AR289+MIN(AH289-AR289,MAX(0,'Start Here'!$B$10-SUM($AJ289:$AS289)-SUMPRODUCT(($Z$3:$AI$3&lt;AH$3)*($Z289:$AI289-$AJ289:$AS289))))</f>
        <v>0</v>
      </c>
      <c r="O289" s="42" t="n">
        <f aca="false">AS289+MIN(AI289-AS289,MAX(0,'Start Here'!$B$10-SUM($AJ289:$AS289)-SUMPRODUCT(($Z$3:$AI$3&lt;AI$3)*($Z289:$AI289-$AJ289:$AS289))))</f>
        <v>0</v>
      </c>
      <c r="P289" s="42" t="n">
        <f aca="false">ROUND(Z289-F289,2)</f>
        <v>0</v>
      </c>
      <c r="Q289" s="42" t="n">
        <f aca="false">ROUND(AA289-G289,2)</f>
        <v>0</v>
      </c>
      <c r="R289" s="42" t="n">
        <f aca="false">ROUND(AB289-H289,2)</f>
        <v>0</v>
      </c>
      <c r="S289" s="42" t="n">
        <f aca="false">ROUND(AC289-I289,2)</f>
        <v>0</v>
      </c>
      <c r="T289" s="42" t="n">
        <f aca="false">ROUND(AD289-J289,2)</f>
        <v>0</v>
      </c>
      <c r="U289" s="42" t="n">
        <f aca="false">ROUND(AE289-K289,2)</f>
        <v>0</v>
      </c>
      <c r="V289" s="42" t="n">
        <f aca="false">ROUND(AF289-L289,2)</f>
        <v>0</v>
      </c>
      <c r="W289" s="42" t="n">
        <f aca="false">ROUND(AG289-M289,2)</f>
        <v>0</v>
      </c>
      <c r="X289" s="42" t="n">
        <f aca="false">ROUND(AH289-N289,2)</f>
        <v>0</v>
      </c>
      <c r="Y289" s="42" t="n">
        <f aca="false">ROUND(AI289-O289,2)</f>
        <v>0</v>
      </c>
      <c r="Z289" s="56" t="n">
        <f aca="false">ROUND(P288*(1+N(Debts!$D$5)/12),2)</f>
        <v>0</v>
      </c>
      <c r="AA289" s="56" t="n">
        <f aca="false">ROUND(Q288*(1+N(Debts!$D$6)/12),2)</f>
        <v>0</v>
      </c>
      <c r="AB289" s="56" t="n">
        <f aca="false">ROUND(R288*(1+N(Debts!$D$7)/12),2)</f>
        <v>0</v>
      </c>
      <c r="AC289" s="56" t="n">
        <f aca="false">ROUND(S288*(1+N(Debts!$D$8)/12),2)</f>
        <v>0</v>
      </c>
      <c r="AD289" s="56" t="n">
        <f aca="false">ROUND(T288*(1+N(Debts!$D$9)/12),2)</f>
        <v>0</v>
      </c>
      <c r="AE289" s="56" t="n">
        <f aca="false">ROUND(U288*(1+N(Debts!$D$10)/12),2)</f>
        <v>0</v>
      </c>
      <c r="AF289" s="56" t="n">
        <f aca="false">ROUND(V288*(1+N(Debts!$D$11)/12),2)</f>
        <v>0</v>
      </c>
      <c r="AG289" s="56" t="n">
        <f aca="false">ROUND(W288*(1+N(Debts!$D$12)/12),2)</f>
        <v>0</v>
      </c>
      <c r="AH289" s="56" t="n">
        <f aca="false">ROUND(X288*(1+N(Debts!$D$13)/12),2)</f>
        <v>0</v>
      </c>
      <c r="AI289" s="56" t="n">
        <f aca="false">ROUND(Y288*(1+N(Debts!$D$14)/12),2)</f>
        <v>0</v>
      </c>
      <c r="AJ289" s="56" t="n">
        <f aca="false">MIN(Z289,MAX(0,N(Debts!$E$5)))</f>
        <v>0</v>
      </c>
      <c r="AK289" s="56" t="n">
        <f aca="false">MIN(AA289,MAX(0,N(Debts!$E$6)))</f>
        <v>0</v>
      </c>
      <c r="AL289" s="56" t="n">
        <f aca="false">MIN(AB289,MAX(0,N(Debts!$E$7)))</f>
        <v>0</v>
      </c>
      <c r="AM289" s="56" t="n">
        <f aca="false">MIN(AC289,MAX(0,N(Debts!$E$8)))</f>
        <v>0</v>
      </c>
      <c r="AN289" s="56" t="n">
        <f aca="false">MIN(AD289,MAX(0,N(Debts!$E$9)))</f>
        <v>0</v>
      </c>
      <c r="AO289" s="56" t="n">
        <f aca="false">MIN(AE289,MAX(0,N(Debts!$E$10)))</f>
        <v>0</v>
      </c>
      <c r="AP289" s="56" t="n">
        <f aca="false">MIN(AF289,MAX(0,N(Debts!$E$11)))</f>
        <v>0</v>
      </c>
      <c r="AQ289" s="56" t="n">
        <f aca="false">MIN(AG289,MAX(0,N(Debts!$E$12)))</f>
        <v>0</v>
      </c>
      <c r="AR289" s="56" t="n">
        <f aca="false">MIN(AH289,MAX(0,N(Debts!$E$13)))</f>
        <v>0</v>
      </c>
      <c r="AS289" s="56" t="n">
        <f aca="false">MIN(AI289,MAX(0,N(Debts!$E$14)))</f>
        <v>0</v>
      </c>
    </row>
    <row r="290" customFormat="false" ht="15" hidden="false" customHeight="false" outlineLevel="0" collapsed="false">
      <c r="A290" s="53" t="n">
        <v>286</v>
      </c>
      <c r="B290" s="54" t="n">
        <f aca="false">EDATE('Start Here'!$B$8,285)</f>
        <v>55001</v>
      </c>
      <c r="C290" s="42" t="n">
        <f aca="false">SUM(F290:O290)</f>
        <v>0</v>
      </c>
      <c r="D290" s="42" t="n">
        <f aca="false">ROUND(SUM($Z290:$AI290)-SUM(P289:Y289),2)</f>
        <v>0</v>
      </c>
      <c r="E290" s="55" t="n">
        <f aca="false">SUM(P290:Y290)</f>
        <v>0</v>
      </c>
      <c r="F290" s="42" t="n">
        <f aca="false">AJ290+MIN(Z290-AJ290,MAX(0,'Start Here'!$B$10-SUM($AJ290:$AS290)-SUMPRODUCT(($Z$3:$AI$3&lt;Z$3)*($Z290:$AI290-$AJ290:$AS290))))</f>
        <v>0</v>
      </c>
      <c r="G290" s="42" t="n">
        <f aca="false">AK290+MIN(AA290-AK290,MAX(0,'Start Here'!$B$10-SUM($AJ290:$AS290)-SUMPRODUCT(($Z$3:$AI$3&lt;AA$3)*($Z290:$AI290-$AJ290:$AS290))))</f>
        <v>0</v>
      </c>
      <c r="H290" s="42" t="n">
        <f aca="false">AL290+MIN(AB290-AL290,MAX(0,'Start Here'!$B$10-SUM($AJ290:$AS290)-SUMPRODUCT(($Z$3:$AI$3&lt;AB$3)*($Z290:$AI290-$AJ290:$AS290))))</f>
        <v>0</v>
      </c>
      <c r="I290" s="42" t="n">
        <f aca="false">AM290+MIN(AC290-AM290,MAX(0,'Start Here'!$B$10-SUM($AJ290:$AS290)-SUMPRODUCT(($Z$3:$AI$3&lt;AC$3)*($Z290:$AI290-$AJ290:$AS290))))</f>
        <v>0</v>
      </c>
      <c r="J290" s="42" t="n">
        <f aca="false">AN290+MIN(AD290-AN290,MAX(0,'Start Here'!$B$10-SUM($AJ290:$AS290)-SUMPRODUCT(($Z$3:$AI$3&lt;AD$3)*($Z290:$AI290-$AJ290:$AS290))))</f>
        <v>0</v>
      </c>
      <c r="K290" s="42" t="n">
        <f aca="false">AO290+MIN(AE290-AO290,MAX(0,'Start Here'!$B$10-SUM($AJ290:$AS290)-SUMPRODUCT(($Z$3:$AI$3&lt;AE$3)*($Z290:$AI290-$AJ290:$AS290))))</f>
        <v>0</v>
      </c>
      <c r="L290" s="42" t="n">
        <f aca="false">AP290+MIN(AF290-AP290,MAX(0,'Start Here'!$B$10-SUM($AJ290:$AS290)-SUMPRODUCT(($Z$3:$AI$3&lt;AF$3)*($Z290:$AI290-$AJ290:$AS290))))</f>
        <v>0</v>
      </c>
      <c r="M290" s="42" t="n">
        <f aca="false">AQ290+MIN(AG290-AQ290,MAX(0,'Start Here'!$B$10-SUM($AJ290:$AS290)-SUMPRODUCT(($Z$3:$AI$3&lt;AG$3)*($Z290:$AI290-$AJ290:$AS290))))</f>
        <v>0</v>
      </c>
      <c r="N290" s="42" t="n">
        <f aca="false">AR290+MIN(AH290-AR290,MAX(0,'Start Here'!$B$10-SUM($AJ290:$AS290)-SUMPRODUCT(($Z$3:$AI$3&lt;AH$3)*($Z290:$AI290-$AJ290:$AS290))))</f>
        <v>0</v>
      </c>
      <c r="O290" s="42" t="n">
        <f aca="false">AS290+MIN(AI290-AS290,MAX(0,'Start Here'!$B$10-SUM($AJ290:$AS290)-SUMPRODUCT(($Z$3:$AI$3&lt;AI$3)*($Z290:$AI290-$AJ290:$AS290))))</f>
        <v>0</v>
      </c>
      <c r="P290" s="42" t="n">
        <f aca="false">ROUND(Z290-F290,2)</f>
        <v>0</v>
      </c>
      <c r="Q290" s="42" t="n">
        <f aca="false">ROUND(AA290-G290,2)</f>
        <v>0</v>
      </c>
      <c r="R290" s="42" t="n">
        <f aca="false">ROUND(AB290-H290,2)</f>
        <v>0</v>
      </c>
      <c r="S290" s="42" t="n">
        <f aca="false">ROUND(AC290-I290,2)</f>
        <v>0</v>
      </c>
      <c r="T290" s="42" t="n">
        <f aca="false">ROUND(AD290-J290,2)</f>
        <v>0</v>
      </c>
      <c r="U290" s="42" t="n">
        <f aca="false">ROUND(AE290-K290,2)</f>
        <v>0</v>
      </c>
      <c r="V290" s="42" t="n">
        <f aca="false">ROUND(AF290-L290,2)</f>
        <v>0</v>
      </c>
      <c r="W290" s="42" t="n">
        <f aca="false">ROUND(AG290-M290,2)</f>
        <v>0</v>
      </c>
      <c r="X290" s="42" t="n">
        <f aca="false">ROUND(AH290-N290,2)</f>
        <v>0</v>
      </c>
      <c r="Y290" s="42" t="n">
        <f aca="false">ROUND(AI290-O290,2)</f>
        <v>0</v>
      </c>
      <c r="Z290" s="56" t="n">
        <f aca="false">ROUND(P289*(1+N(Debts!$D$5)/12),2)</f>
        <v>0</v>
      </c>
      <c r="AA290" s="56" t="n">
        <f aca="false">ROUND(Q289*(1+N(Debts!$D$6)/12),2)</f>
        <v>0</v>
      </c>
      <c r="AB290" s="56" t="n">
        <f aca="false">ROUND(R289*(1+N(Debts!$D$7)/12),2)</f>
        <v>0</v>
      </c>
      <c r="AC290" s="56" t="n">
        <f aca="false">ROUND(S289*(1+N(Debts!$D$8)/12),2)</f>
        <v>0</v>
      </c>
      <c r="AD290" s="56" t="n">
        <f aca="false">ROUND(T289*(1+N(Debts!$D$9)/12),2)</f>
        <v>0</v>
      </c>
      <c r="AE290" s="56" t="n">
        <f aca="false">ROUND(U289*(1+N(Debts!$D$10)/12),2)</f>
        <v>0</v>
      </c>
      <c r="AF290" s="56" t="n">
        <f aca="false">ROUND(V289*(1+N(Debts!$D$11)/12),2)</f>
        <v>0</v>
      </c>
      <c r="AG290" s="56" t="n">
        <f aca="false">ROUND(W289*(1+N(Debts!$D$12)/12),2)</f>
        <v>0</v>
      </c>
      <c r="AH290" s="56" t="n">
        <f aca="false">ROUND(X289*(1+N(Debts!$D$13)/12),2)</f>
        <v>0</v>
      </c>
      <c r="AI290" s="56" t="n">
        <f aca="false">ROUND(Y289*(1+N(Debts!$D$14)/12),2)</f>
        <v>0</v>
      </c>
      <c r="AJ290" s="56" t="n">
        <f aca="false">MIN(Z290,MAX(0,N(Debts!$E$5)))</f>
        <v>0</v>
      </c>
      <c r="AK290" s="56" t="n">
        <f aca="false">MIN(AA290,MAX(0,N(Debts!$E$6)))</f>
        <v>0</v>
      </c>
      <c r="AL290" s="56" t="n">
        <f aca="false">MIN(AB290,MAX(0,N(Debts!$E$7)))</f>
        <v>0</v>
      </c>
      <c r="AM290" s="56" t="n">
        <f aca="false">MIN(AC290,MAX(0,N(Debts!$E$8)))</f>
        <v>0</v>
      </c>
      <c r="AN290" s="56" t="n">
        <f aca="false">MIN(AD290,MAX(0,N(Debts!$E$9)))</f>
        <v>0</v>
      </c>
      <c r="AO290" s="56" t="n">
        <f aca="false">MIN(AE290,MAX(0,N(Debts!$E$10)))</f>
        <v>0</v>
      </c>
      <c r="AP290" s="56" t="n">
        <f aca="false">MIN(AF290,MAX(0,N(Debts!$E$11)))</f>
        <v>0</v>
      </c>
      <c r="AQ290" s="56" t="n">
        <f aca="false">MIN(AG290,MAX(0,N(Debts!$E$12)))</f>
        <v>0</v>
      </c>
      <c r="AR290" s="56" t="n">
        <f aca="false">MIN(AH290,MAX(0,N(Debts!$E$13)))</f>
        <v>0</v>
      </c>
      <c r="AS290" s="56" t="n">
        <f aca="false">MIN(AI290,MAX(0,N(Debts!$E$14)))</f>
        <v>0</v>
      </c>
    </row>
    <row r="291" customFormat="false" ht="15" hidden="false" customHeight="false" outlineLevel="0" collapsed="false">
      <c r="A291" s="53" t="n">
        <v>287</v>
      </c>
      <c r="B291" s="54" t="n">
        <f aca="false">EDATE('Start Here'!$B$8,286)</f>
        <v>55032</v>
      </c>
      <c r="C291" s="42" t="n">
        <f aca="false">SUM(F291:O291)</f>
        <v>0</v>
      </c>
      <c r="D291" s="42" t="n">
        <f aca="false">ROUND(SUM($Z291:$AI291)-SUM(P290:Y290),2)</f>
        <v>0</v>
      </c>
      <c r="E291" s="55" t="n">
        <f aca="false">SUM(P291:Y291)</f>
        <v>0</v>
      </c>
      <c r="F291" s="42" t="n">
        <f aca="false">AJ291+MIN(Z291-AJ291,MAX(0,'Start Here'!$B$10-SUM($AJ291:$AS291)-SUMPRODUCT(($Z$3:$AI$3&lt;Z$3)*($Z291:$AI291-$AJ291:$AS291))))</f>
        <v>0</v>
      </c>
      <c r="G291" s="42" t="n">
        <f aca="false">AK291+MIN(AA291-AK291,MAX(0,'Start Here'!$B$10-SUM($AJ291:$AS291)-SUMPRODUCT(($Z$3:$AI$3&lt;AA$3)*($Z291:$AI291-$AJ291:$AS291))))</f>
        <v>0</v>
      </c>
      <c r="H291" s="42" t="n">
        <f aca="false">AL291+MIN(AB291-AL291,MAX(0,'Start Here'!$B$10-SUM($AJ291:$AS291)-SUMPRODUCT(($Z$3:$AI$3&lt;AB$3)*($Z291:$AI291-$AJ291:$AS291))))</f>
        <v>0</v>
      </c>
      <c r="I291" s="42" t="n">
        <f aca="false">AM291+MIN(AC291-AM291,MAX(0,'Start Here'!$B$10-SUM($AJ291:$AS291)-SUMPRODUCT(($Z$3:$AI$3&lt;AC$3)*($Z291:$AI291-$AJ291:$AS291))))</f>
        <v>0</v>
      </c>
      <c r="J291" s="42" t="n">
        <f aca="false">AN291+MIN(AD291-AN291,MAX(0,'Start Here'!$B$10-SUM($AJ291:$AS291)-SUMPRODUCT(($Z$3:$AI$3&lt;AD$3)*($Z291:$AI291-$AJ291:$AS291))))</f>
        <v>0</v>
      </c>
      <c r="K291" s="42" t="n">
        <f aca="false">AO291+MIN(AE291-AO291,MAX(0,'Start Here'!$B$10-SUM($AJ291:$AS291)-SUMPRODUCT(($Z$3:$AI$3&lt;AE$3)*($Z291:$AI291-$AJ291:$AS291))))</f>
        <v>0</v>
      </c>
      <c r="L291" s="42" t="n">
        <f aca="false">AP291+MIN(AF291-AP291,MAX(0,'Start Here'!$B$10-SUM($AJ291:$AS291)-SUMPRODUCT(($Z$3:$AI$3&lt;AF$3)*($Z291:$AI291-$AJ291:$AS291))))</f>
        <v>0</v>
      </c>
      <c r="M291" s="42" t="n">
        <f aca="false">AQ291+MIN(AG291-AQ291,MAX(0,'Start Here'!$B$10-SUM($AJ291:$AS291)-SUMPRODUCT(($Z$3:$AI$3&lt;AG$3)*($Z291:$AI291-$AJ291:$AS291))))</f>
        <v>0</v>
      </c>
      <c r="N291" s="42" t="n">
        <f aca="false">AR291+MIN(AH291-AR291,MAX(0,'Start Here'!$B$10-SUM($AJ291:$AS291)-SUMPRODUCT(($Z$3:$AI$3&lt;AH$3)*($Z291:$AI291-$AJ291:$AS291))))</f>
        <v>0</v>
      </c>
      <c r="O291" s="42" t="n">
        <f aca="false">AS291+MIN(AI291-AS291,MAX(0,'Start Here'!$B$10-SUM($AJ291:$AS291)-SUMPRODUCT(($Z$3:$AI$3&lt;AI$3)*($Z291:$AI291-$AJ291:$AS291))))</f>
        <v>0</v>
      </c>
      <c r="P291" s="42" t="n">
        <f aca="false">ROUND(Z291-F291,2)</f>
        <v>0</v>
      </c>
      <c r="Q291" s="42" t="n">
        <f aca="false">ROUND(AA291-G291,2)</f>
        <v>0</v>
      </c>
      <c r="R291" s="42" t="n">
        <f aca="false">ROUND(AB291-H291,2)</f>
        <v>0</v>
      </c>
      <c r="S291" s="42" t="n">
        <f aca="false">ROUND(AC291-I291,2)</f>
        <v>0</v>
      </c>
      <c r="T291" s="42" t="n">
        <f aca="false">ROUND(AD291-J291,2)</f>
        <v>0</v>
      </c>
      <c r="U291" s="42" t="n">
        <f aca="false">ROUND(AE291-K291,2)</f>
        <v>0</v>
      </c>
      <c r="V291" s="42" t="n">
        <f aca="false">ROUND(AF291-L291,2)</f>
        <v>0</v>
      </c>
      <c r="W291" s="42" t="n">
        <f aca="false">ROUND(AG291-M291,2)</f>
        <v>0</v>
      </c>
      <c r="X291" s="42" t="n">
        <f aca="false">ROUND(AH291-N291,2)</f>
        <v>0</v>
      </c>
      <c r="Y291" s="42" t="n">
        <f aca="false">ROUND(AI291-O291,2)</f>
        <v>0</v>
      </c>
      <c r="Z291" s="56" t="n">
        <f aca="false">ROUND(P290*(1+N(Debts!$D$5)/12),2)</f>
        <v>0</v>
      </c>
      <c r="AA291" s="56" t="n">
        <f aca="false">ROUND(Q290*(1+N(Debts!$D$6)/12),2)</f>
        <v>0</v>
      </c>
      <c r="AB291" s="56" t="n">
        <f aca="false">ROUND(R290*(1+N(Debts!$D$7)/12),2)</f>
        <v>0</v>
      </c>
      <c r="AC291" s="56" t="n">
        <f aca="false">ROUND(S290*(1+N(Debts!$D$8)/12),2)</f>
        <v>0</v>
      </c>
      <c r="AD291" s="56" t="n">
        <f aca="false">ROUND(T290*(1+N(Debts!$D$9)/12),2)</f>
        <v>0</v>
      </c>
      <c r="AE291" s="56" t="n">
        <f aca="false">ROUND(U290*(1+N(Debts!$D$10)/12),2)</f>
        <v>0</v>
      </c>
      <c r="AF291" s="56" t="n">
        <f aca="false">ROUND(V290*(1+N(Debts!$D$11)/12),2)</f>
        <v>0</v>
      </c>
      <c r="AG291" s="56" t="n">
        <f aca="false">ROUND(W290*(1+N(Debts!$D$12)/12),2)</f>
        <v>0</v>
      </c>
      <c r="AH291" s="56" t="n">
        <f aca="false">ROUND(X290*(1+N(Debts!$D$13)/12),2)</f>
        <v>0</v>
      </c>
      <c r="AI291" s="56" t="n">
        <f aca="false">ROUND(Y290*(1+N(Debts!$D$14)/12),2)</f>
        <v>0</v>
      </c>
      <c r="AJ291" s="56" t="n">
        <f aca="false">MIN(Z291,MAX(0,N(Debts!$E$5)))</f>
        <v>0</v>
      </c>
      <c r="AK291" s="56" t="n">
        <f aca="false">MIN(AA291,MAX(0,N(Debts!$E$6)))</f>
        <v>0</v>
      </c>
      <c r="AL291" s="56" t="n">
        <f aca="false">MIN(AB291,MAX(0,N(Debts!$E$7)))</f>
        <v>0</v>
      </c>
      <c r="AM291" s="56" t="n">
        <f aca="false">MIN(AC291,MAX(0,N(Debts!$E$8)))</f>
        <v>0</v>
      </c>
      <c r="AN291" s="56" t="n">
        <f aca="false">MIN(AD291,MAX(0,N(Debts!$E$9)))</f>
        <v>0</v>
      </c>
      <c r="AO291" s="56" t="n">
        <f aca="false">MIN(AE291,MAX(0,N(Debts!$E$10)))</f>
        <v>0</v>
      </c>
      <c r="AP291" s="56" t="n">
        <f aca="false">MIN(AF291,MAX(0,N(Debts!$E$11)))</f>
        <v>0</v>
      </c>
      <c r="AQ291" s="56" t="n">
        <f aca="false">MIN(AG291,MAX(0,N(Debts!$E$12)))</f>
        <v>0</v>
      </c>
      <c r="AR291" s="56" t="n">
        <f aca="false">MIN(AH291,MAX(0,N(Debts!$E$13)))</f>
        <v>0</v>
      </c>
      <c r="AS291" s="56" t="n">
        <f aca="false">MIN(AI291,MAX(0,N(Debts!$E$14)))</f>
        <v>0</v>
      </c>
    </row>
    <row r="292" customFormat="false" ht="15" hidden="false" customHeight="false" outlineLevel="0" collapsed="false">
      <c r="A292" s="53" t="n">
        <v>288</v>
      </c>
      <c r="B292" s="54" t="n">
        <f aca="false">EDATE('Start Here'!$B$8,287)</f>
        <v>55062</v>
      </c>
      <c r="C292" s="42" t="n">
        <f aca="false">SUM(F292:O292)</f>
        <v>0</v>
      </c>
      <c r="D292" s="42" t="n">
        <f aca="false">ROUND(SUM($Z292:$AI292)-SUM(P291:Y291),2)</f>
        <v>0</v>
      </c>
      <c r="E292" s="55" t="n">
        <f aca="false">SUM(P292:Y292)</f>
        <v>0</v>
      </c>
      <c r="F292" s="42" t="n">
        <f aca="false">AJ292+MIN(Z292-AJ292,MAX(0,'Start Here'!$B$10-SUM($AJ292:$AS292)-SUMPRODUCT(($Z$3:$AI$3&lt;Z$3)*($Z292:$AI292-$AJ292:$AS292))))</f>
        <v>0</v>
      </c>
      <c r="G292" s="42" t="n">
        <f aca="false">AK292+MIN(AA292-AK292,MAX(0,'Start Here'!$B$10-SUM($AJ292:$AS292)-SUMPRODUCT(($Z$3:$AI$3&lt;AA$3)*($Z292:$AI292-$AJ292:$AS292))))</f>
        <v>0</v>
      </c>
      <c r="H292" s="42" t="n">
        <f aca="false">AL292+MIN(AB292-AL292,MAX(0,'Start Here'!$B$10-SUM($AJ292:$AS292)-SUMPRODUCT(($Z$3:$AI$3&lt;AB$3)*($Z292:$AI292-$AJ292:$AS292))))</f>
        <v>0</v>
      </c>
      <c r="I292" s="42" t="n">
        <f aca="false">AM292+MIN(AC292-AM292,MAX(0,'Start Here'!$B$10-SUM($AJ292:$AS292)-SUMPRODUCT(($Z$3:$AI$3&lt;AC$3)*($Z292:$AI292-$AJ292:$AS292))))</f>
        <v>0</v>
      </c>
      <c r="J292" s="42" t="n">
        <f aca="false">AN292+MIN(AD292-AN292,MAX(0,'Start Here'!$B$10-SUM($AJ292:$AS292)-SUMPRODUCT(($Z$3:$AI$3&lt;AD$3)*($Z292:$AI292-$AJ292:$AS292))))</f>
        <v>0</v>
      </c>
      <c r="K292" s="42" t="n">
        <f aca="false">AO292+MIN(AE292-AO292,MAX(0,'Start Here'!$B$10-SUM($AJ292:$AS292)-SUMPRODUCT(($Z$3:$AI$3&lt;AE$3)*($Z292:$AI292-$AJ292:$AS292))))</f>
        <v>0</v>
      </c>
      <c r="L292" s="42" t="n">
        <f aca="false">AP292+MIN(AF292-AP292,MAX(0,'Start Here'!$B$10-SUM($AJ292:$AS292)-SUMPRODUCT(($Z$3:$AI$3&lt;AF$3)*($Z292:$AI292-$AJ292:$AS292))))</f>
        <v>0</v>
      </c>
      <c r="M292" s="42" t="n">
        <f aca="false">AQ292+MIN(AG292-AQ292,MAX(0,'Start Here'!$B$10-SUM($AJ292:$AS292)-SUMPRODUCT(($Z$3:$AI$3&lt;AG$3)*($Z292:$AI292-$AJ292:$AS292))))</f>
        <v>0</v>
      </c>
      <c r="N292" s="42" t="n">
        <f aca="false">AR292+MIN(AH292-AR292,MAX(0,'Start Here'!$B$10-SUM($AJ292:$AS292)-SUMPRODUCT(($Z$3:$AI$3&lt;AH$3)*($Z292:$AI292-$AJ292:$AS292))))</f>
        <v>0</v>
      </c>
      <c r="O292" s="42" t="n">
        <f aca="false">AS292+MIN(AI292-AS292,MAX(0,'Start Here'!$B$10-SUM($AJ292:$AS292)-SUMPRODUCT(($Z$3:$AI$3&lt;AI$3)*($Z292:$AI292-$AJ292:$AS292))))</f>
        <v>0</v>
      </c>
      <c r="P292" s="42" t="n">
        <f aca="false">ROUND(Z292-F292,2)</f>
        <v>0</v>
      </c>
      <c r="Q292" s="42" t="n">
        <f aca="false">ROUND(AA292-G292,2)</f>
        <v>0</v>
      </c>
      <c r="R292" s="42" t="n">
        <f aca="false">ROUND(AB292-H292,2)</f>
        <v>0</v>
      </c>
      <c r="S292" s="42" t="n">
        <f aca="false">ROUND(AC292-I292,2)</f>
        <v>0</v>
      </c>
      <c r="T292" s="42" t="n">
        <f aca="false">ROUND(AD292-J292,2)</f>
        <v>0</v>
      </c>
      <c r="U292" s="42" t="n">
        <f aca="false">ROUND(AE292-K292,2)</f>
        <v>0</v>
      </c>
      <c r="V292" s="42" t="n">
        <f aca="false">ROUND(AF292-L292,2)</f>
        <v>0</v>
      </c>
      <c r="W292" s="42" t="n">
        <f aca="false">ROUND(AG292-M292,2)</f>
        <v>0</v>
      </c>
      <c r="X292" s="42" t="n">
        <f aca="false">ROUND(AH292-N292,2)</f>
        <v>0</v>
      </c>
      <c r="Y292" s="42" t="n">
        <f aca="false">ROUND(AI292-O292,2)</f>
        <v>0</v>
      </c>
      <c r="Z292" s="56" t="n">
        <f aca="false">ROUND(P291*(1+N(Debts!$D$5)/12),2)</f>
        <v>0</v>
      </c>
      <c r="AA292" s="56" t="n">
        <f aca="false">ROUND(Q291*(1+N(Debts!$D$6)/12),2)</f>
        <v>0</v>
      </c>
      <c r="AB292" s="56" t="n">
        <f aca="false">ROUND(R291*(1+N(Debts!$D$7)/12),2)</f>
        <v>0</v>
      </c>
      <c r="AC292" s="56" t="n">
        <f aca="false">ROUND(S291*(1+N(Debts!$D$8)/12),2)</f>
        <v>0</v>
      </c>
      <c r="AD292" s="56" t="n">
        <f aca="false">ROUND(T291*(1+N(Debts!$D$9)/12),2)</f>
        <v>0</v>
      </c>
      <c r="AE292" s="56" t="n">
        <f aca="false">ROUND(U291*(1+N(Debts!$D$10)/12),2)</f>
        <v>0</v>
      </c>
      <c r="AF292" s="56" t="n">
        <f aca="false">ROUND(V291*(1+N(Debts!$D$11)/12),2)</f>
        <v>0</v>
      </c>
      <c r="AG292" s="56" t="n">
        <f aca="false">ROUND(W291*(1+N(Debts!$D$12)/12),2)</f>
        <v>0</v>
      </c>
      <c r="AH292" s="56" t="n">
        <f aca="false">ROUND(X291*(1+N(Debts!$D$13)/12),2)</f>
        <v>0</v>
      </c>
      <c r="AI292" s="56" t="n">
        <f aca="false">ROUND(Y291*(1+N(Debts!$D$14)/12),2)</f>
        <v>0</v>
      </c>
      <c r="AJ292" s="56" t="n">
        <f aca="false">MIN(Z292,MAX(0,N(Debts!$E$5)))</f>
        <v>0</v>
      </c>
      <c r="AK292" s="56" t="n">
        <f aca="false">MIN(AA292,MAX(0,N(Debts!$E$6)))</f>
        <v>0</v>
      </c>
      <c r="AL292" s="56" t="n">
        <f aca="false">MIN(AB292,MAX(0,N(Debts!$E$7)))</f>
        <v>0</v>
      </c>
      <c r="AM292" s="56" t="n">
        <f aca="false">MIN(AC292,MAX(0,N(Debts!$E$8)))</f>
        <v>0</v>
      </c>
      <c r="AN292" s="56" t="n">
        <f aca="false">MIN(AD292,MAX(0,N(Debts!$E$9)))</f>
        <v>0</v>
      </c>
      <c r="AO292" s="56" t="n">
        <f aca="false">MIN(AE292,MAX(0,N(Debts!$E$10)))</f>
        <v>0</v>
      </c>
      <c r="AP292" s="56" t="n">
        <f aca="false">MIN(AF292,MAX(0,N(Debts!$E$11)))</f>
        <v>0</v>
      </c>
      <c r="AQ292" s="56" t="n">
        <f aca="false">MIN(AG292,MAX(0,N(Debts!$E$12)))</f>
        <v>0</v>
      </c>
      <c r="AR292" s="56" t="n">
        <f aca="false">MIN(AH292,MAX(0,N(Debts!$E$13)))</f>
        <v>0</v>
      </c>
      <c r="AS292" s="56" t="n">
        <f aca="false">MIN(AI292,MAX(0,N(Debts!$E$14)))</f>
        <v>0</v>
      </c>
    </row>
    <row r="293" customFormat="false" ht="15" hidden="false" customHeight="false" outlineLevel="0" collapsed="false">
      <c r="A293" s="53" t="n">
        <v>289</v>
      </c>
      <c r="B293" s="54" t="n">
        <f aca="false">EDATE('Start Here'!$B$8,288)</f>
        <v>55093</v>
      </c>
      <c r="C293" s="42" t="n">
        <f aca="false">SUM(F293:O293)</f>
        <v>0</v>
      </c>
      <c r="D293" s="42" t="n">
        <f aca="false">ROUND(SUM($Z293:$AI293)-SUM(P292:Y292),2)</f>
        <v>0</v>
      </c>
      <c r="E293" s="55" t="n">
        <f aca="false">SUM(P293:Y293)</f>
        <v>0</v>
      </c>
      <c r="F293" s="42" t="n">
        <f aca="false">AJ293+MIN(Z293-AJ293,MAX(0,'Start Here'!$B$10-SUM($AJ293:$AS293)-SUMPRODUCT(($Z$3:$AI$3&lt;Z$3)*($Z293:$AI293-$AJ293:$AS293))))</f>
        <v>0</v>
      </c>
      <c r="G293" s="42" t="n">
        <f aca="false">AK293+MIN(AA293-AK293,MAX(0,'Start Here'!$B$10-SUM($AJ293:$AS293)-SUMPRODUCT(($Z$3:$AI$3&lt;AA$3)*($Z293:$AI293-$AJ293:$AS293))))</f>
        <v>0</v>
      </c>
      <c r="H293" s="42" t="n">
        <f aca="false">AL293+MIN(AB293-AL293,MAX(0,'Start Here'!$B$10-SUM($AJ293:$AS293)-SUMPRODUCT(($Z$3:$AI$3&lt;AB$3)*($Z293:$AI293-$AJ293:$AS293))))</f>
        <v>0</v>
      </c>
      <c r="I293" s="42" t="n">
        <f aca="false">AM293+MIN(AC293-AM293,MAX(0,'Start Here'!$B$10-SUM($AJ293:$AS293)-SUMPRODUCT(($Z$3:$AI$3&lt;AC$3)*($Z293:$AI293-$AJ293:$AS293))))</f>
        <v>0</v>
      </c>
      <c r="J293" s="42" t="n">
        <f aca="false">AN293+MIN(AD293-AN293,MAX(0,'Start Here'!$B$10-SUM($AJ293:$AS293)-SUMPRODUCT(($Z$3:$AI$3&lt;AD$3)*($Z293:$AI293-$AJ293:$AS293))))</f>
        <v>0</v>
      </c>
      <c r="K293" s="42" t="n">
        <f aca="false">AO293+MIN(AE293-AO293,MAX(0,'Start Here'!$B$10-SUM($AJ293:$AS293)-SUMPRODUCT(($Z$3:$AI$3&lt;AE$3)*($Z293:$AI293-$AJ293:$AS293))))</f>
        <v>0</v>
      </c>
      <c r="L293" s="42" t="n">
        <f aca="false">AP293+MIN(AF293-AP293,MAX(0,'Start Here'!$B$10-SUM($AJ293:$AS293)-SUMPRODUCT(($Z$3:$AI$3&lt;AF$3)*($Z293:$AI293-$AJ293:$AS293))))</f>
        <v>0</v>
      </c>
      <c r="M293" s="42" t="n">
        <f aca="false">AQ293+MIN(AG293-AQ293,MAX(0,'Start Here'!$B$10-SUM($AJ293:$AS293)-SUMPRODUCT(($Z$3:$AI$3&lt;AG$3)*($Z293:$AI293-$AJ293:$AS293))))</f>
        <v>0</v>
      </c>
      <c r="N293" s="42" t="n">
        <f aca="false">AR293+MIN(AH293-AR293,MAX(0,'Start Here'!$B$10-SUM($AJ293:$AS293)-SUMPRODUCT(($Z$3:$AI$3&lt;AH$3)*($Z293:$AI293-$AJ293:$AS293))))</f>
        <v>0</v>
      </c>
      <c r="O293" s="42" t="n">
        <f aca="false">AS293+MIN(AI293-AS293,MAX(0,'Start Here'!$B$10-SUM($AJ293:$AS293)-SUMPRODUCT(($Z$3:$AI$3&lt;AI$3)*($Z293:$AI293-$AJ293:$AS293))))</f>
        <v>0</v>
      </c>
      <c r="P293" s="42" t="n">
        <f aca="false">ROUND(Z293-F293,2)</f>
        <v>0</v>
      </c>
      <c r="Q293" s="42" t="n">
        <f aca="false">ROUND(AA293-G293,2)</f>
        <v>0</v>
      </c>
      <c r="R293" s="42" t="n">
        <f aca="false">ROUND(AB293-H293,2)</f>
        <v>0</v>
      </c>
      <c r="S293" s="42" t="n">
        <f aca="false">ROUND(AC293-I293,2)</f>
        <v>0</v>
      </c>
      <c r="T293" s="42" t="n">
        <f aca="false">ROUND(AD293-J293,2)</f>
        <v>0</v>
      </c>
      <c r="U293" s="42" t="n">
        <f aca="false">ROUND(AE293-K293,2)</f>
        <v>0</v>
      </c>
      <c r="V293" s="42" t="n">
        <f aca="false">ROUND(AF293-L293,2)</f>
        <v>0</v>
      </c>
      <c r="W293" s="42" t="n">
        <f aca="false">ROUND(AG293-M293,2)</f>
        <v>0</v>
      </c>
      <c r="X293" s="42" t="n">
        <f aca="false">ROUND(AH293-N293,2)</f>
        <v>0</v>
      </c>
      <c r="Y293" s="42" t="n">
        <f aca="false">ROUND(AI293-O293,2)</f>
        <v>0</v>
      </c>
      <c r="Z293" s="56" t="n">
        <f aca="false">ROUND(P292*(1+N(Debts!$D$5)/12),2)</f>
        <v>0</v>
      </c>
      <c r="AA293" s="56" t="n">
        <f aca="false">ROUND(Q292*(1+N(Debts!$D$6)/12),2)</f>
        <v>0</v>
      </c>
      <c r="AB293" s="56" t="n">
        <f aca="false">ROUND(R292*(1+N(Debts!$D$7)/12),2)</f>
        <v>0</v>
      </c>
      <c r="AC293" s="56" t="n">
        <f aca="false">ROUND(S292*(1+N(Debts!$D$8)/12),2)</f>
        <v>0</v>
      </c>
      <c r="AD293" s="56" t="n">
        <f aca="false">ROUND(T292*(1+N(Debts!$D$9)/12),2)</f>
        <v>0</v>
      </c>
      <c r="AE293" s="56" t="n">
        <f aca="false">ROUND(U292*(1+N(Debts!$D$10)/12),2)</f>
        <v>0</v>
      </c>
      <c r="AF293" s="56" t="n">
        <f aca="false">ROUND(V292*(1+N(Debts!$D$11)/12),2)</f>
        <v>0</v>
      </c>
      <c r="AG293" s="56" t="n">
        <f aca="false">ROUND(W292*(1+N(Debts!$D$12)/12),2)</f>
        <v>0</v>
      </c>
      <c r="AH293" s="56" t="n">
        <f aca="false">ROUND(X292*(1+N(Debts!$D$13)/12),2)</f>
        <v>0</v>
      </c>
      <c r="AI293" s="56" t="n">
        <f aca="false">ROUND(Y292*(1+N(Debts!$D$14)/12),2)</f>
        <v>0</v>
      </c>
      <c r="AJ293" s="56" t="n">
        <f aca="false">MIN(Z293,MAX(0,N(Debts!$E$5)))</f>
        <v>0</v>
      </c>
      <c r="AK293" s="56" t="n">
        <f aca="false">MIN(AA293,MAX(0,N(Debts!$E$6)))</f>
        <v>0</v>
      </c>
      <c r="AL293" s="56" t="n">
        <f aca="false">MIN(AB293,MAX(0,N(Debts!$E$7)))</f>
        <v>0</v>
      </c>
      <c r="AM293" s="56" t="n">
        <f aca="false">MIN(AC293,MAX(0,N(Debts!$E$8)))</f>
        <v>0</v>
      </c>
      <c r="AN293" s="56" t="n">
        <f aca="false">MIN(AD293,MAX(0,N(Debts!$E$9)))</f>
        <v>0</v>
      </c>
      <c r="AO293" s="56" t="n">
        <f aca="false">MIN(AE293,MAX(0,N(Debts!$E$10)))</f>
        <v>0</v>
      </c>
      <c r="AP293" s="56" t="n">
        <f aca="false">MIN(AF293,MAX(0,N(Debts!$E$11)))</f>
        <v>0</v>
      </c>
      <c r="AQ293" s="56" t="n">
        <f aca="false">MIN(AG293,MAX(0,N(Debts!$E$12)))</f>
        <v>0</v>
      </c>
      <c r="AR293" s="56" t="n">
        <f aca="false">MIN(AH293,MAX(0,N(Debts!$E$13)))</f>
        <v>0</v>
      </c>
      <c r="AS293" s="56" t="n">
        <f aca="false">MIN(AI293,MAX(0,N(Debts!$E$14)))</f>
        <v>0</v>
      </c>
    </row>
    <row r="294" customFormat="false" ht="15" hidden="false" customHeight="false" outlineLevel="0" collapsed="false">
      <c r="A294" s="53" t="n">
        <v>290</v>
      </c>
      <c r="B294" s="54" t="n">
        <f aca="false">EDATE('Start Here'!$B$8,289)</f>
        <v>55123</v>
      </c>
      <c r="C294" s="42" t="n">
        <f aca="false">SUM(F294:O294)</f>
        <v>0</v>
      </c>
      <c r="D294" s="42" t="n">
        <f aca="false">ROUND(SUM($Z294:$AI294)-SUM(P293:Y293),2)</f>
        <v>0</v>
      </c>
      <c r="E294" s="55" t="n">
        <f aca="false">SUM(P294:Y294)</f>
        <v>0</v>
      </c>
      <c r="F294" s="42" t="n">
        <f aca="false">AJ294+MIN(Z294-AJ294,MAX(0,'Start Here'!$B$10-SUM($AJ294:$AS294)-SUMPRODUCT(($Z$3:$AI$3&lt;Z$3)*($Z294:$AI294-$AJ294:$AS294))))</f>
        <v>0</v>
      </c>
      <c r="G294" s="42" t="n">
        <f aca="false">AK294+MIN(AA294-AK294,MAX(0,'Start Here'!$B$10-SUM($AJ294:$AS294)-SUMPRODUCT(($Z$3:$AI$3&lt;AA$3)*($Z294:$AI294-$AJ294:$AS294))))</f>
        <v>0</v>
      </c>
      <c r="H294" s="42" t="n">
        <f aca="false">AL294+MIN(AB294-AL294,MAX(0,'Start Here'!$B$10-SUM($AJ294:$AS294)-SUMPRODUCT(($Z$3:$AI$3&lt;AB$3)*($Z294:$AI294-$AJ294:$AS294))))</f>
        <v>0</v>
      </c>
      <c r="I294" s="42" t="n">
        <f aca="false">AM294+MIN(AC294-AM294,MAX(0,'Start Here'!$B$10-SUM($AJ294:$AS294)-SUMPRODUCT(($Z$3:$AI$3&lt;AC$3)*($Z294:$AI294-$AJ294:$AS294))))</f>
        <v>0</v>
      </c>
      <c r="J294" s="42" t="n">
        <f aca="false">AN294+MIN(AD294-AN294,MAX(0,'Start Here'!$B$10-SUM($AJ294:$AS294)-SUMPRODUCT(($Z$3:$AI$3&lt;AD$3)*($Z294:$AI294-$AJ294:$AS294))))</f>
        <v>0</v>
      </c>
      <c r="K294" s="42" t="n">
        <f aca="false">AO294+MIN(AE294-AO294,MAX(0,'Start Here'!$B$10-SUM($AJ294:$AS294)-SUMPRODUCT(($Z$3:$AI$3&lt;AE$3)*($Z294:$AI294-$AJ294:$AS294))))</f>
        <v>0</v>
      </c>
      <c r="L294" s="42" t="n">
        <f aca="false">AP294+MIN(AF294-AP294,MAX(0,'Start Here'!$B$10-SUM($AJ294:$AS294)-SUMPRODUCT(($Z$3:$AI$3&lt;AF$3)*($Z294:$AI294-$AJ294:$AS294))))</f>
        <v>0</v>
      </c>
      <c r="M294" s="42" t="n">
        <f aca="false">AQ294+MIN(AG294-AQ294,MAX(0,'Start Here'!$B$10-SUM($AJ294:$AS294)-SUMPRODUCT(($Z$3:$AI$3&lt;AG$3)*($Z294:$AI294-$AJ294:$AS294))))</f>
        <v>0</v>
      </c>
      <c r="N294" s="42" t="n">
        <f aca="false">AR294+MIN(AH294-AR294,MAX(0,'Start Here'!$B$10-SUM($AJ294:$AS294)-SUMPRODUCT(($Z$3:$AI$3&lt;AH$3)*($Z294:$AI294-$AJ294:$AS294))))</f>
        <v>0</v>
      </c>
      <c r="O294" s="42" t="n">
        <f aca="false">AS294+MIN(AI294-AS294,MAX(0,'Start Here'!$B$10-SUM($AJ294:$AS294)-SUMPRODUCT(($Z$3:$AI$3&lt;AI$3)*($Z294:$AI294-$AJ294:$AS294))))</f>
        <v>0</v>
      </c>
      <c r="P294" s="42" t="n">
        <f aca="false">ROUND(Z294-F294,2)</f>
        <v>0</v>
      </c>
      <c r="Q294" s="42" t="n">
        <f aca="false">ROUND(AA294-G294,2)</f>
        <v>0</v>
      </c>
      <c r="R294" s="42" t="n">
        <f aca="false">ROUND(AB294-H294,2)</f>
        <v>0</v>
      </c>
      <c r="S294" s="42" t="n">
        <f aca="false">ROUND(AC294-I294,2)</f>
        <v>0</v>
      </c>
      <c r="T294" s="42" t="n">
        <f aca="false">ROUND(AD294-J294,2)</f>
        <v>0</v>
      </c>
      <c r="U294" s="42" t="n">
        <f aca="false">ROUND(AE294-K294,2)</f>
        <v>0</v>
      </c>
      <c r="V294" s="42" t="n">
        <f aca="false">ROUND(AF294-L294,2)</f>
        <v>0</v>
      </c>
      <c r="W294" s="42" t="n">
        <f aca="false">ROUND(AG294-M294,2)</f>
        <v>0</v>
      </c>
      <c r="X294" s="42" t="n">
        <f aca="false">ROUND(AH294-N294,2)</f>
        <v>0</v>
      </c>
      <c r="Y294" s="42" t="n">
        <f aca="false">ROUND(AI294-O294,2)</f>
        <v>0</v>
      </c>
      <c r="Z294" s="56" t="n">
        <f aca="false">ROUND(P293*(1+N(Debts!$D$5)/12),2)</f>
        <v>0</v>
      </c>
      <c r="AA294" s="56" t="n">
        <f aca="false">ROUND(Q293*(1+N(Debts!$D$6)/12),2)</f>
        <v>0</v>
      </c>
      <c r="AB294" s="56" t="n">
        <f aca="false">ROUND(R293*(1+N(Debts!$D$7)/12),2)</f>
        <v>0</v>
      </c>
      <c r="AC294" s="56" t="n">
        <f aca="false">ROUND(S293*(1+N(Debts!$D$8)/12),2)</f>
        <v>0</v>
      </c>
      <c r="AD294" s="56" t="n">
        <f aca="false">ROUND(T293*(1+N(Debts!$D$9)/12),2)</f>
        <v>0</v>
      </c>
      <c r="AE294" s="56" t="n">
        <f aca="false">ROUND(U293*(1+N(Debts!$D$10)/12),2)</f>
        <v>0</v>
      </c>
      <c r="AF294" s="56" t="n">
        <f aca="false">ROUND(V293*(1+N(Debts!$D$11)/12),2)</f>
        <v>0</v>
      </c>
      <c r="AG294" s="56" t="n">
        <f aca="false">ROUND(W293*(1+N(Debts!$D$12)/12),2)</f>
        <v>0</v>
      </c>
      <c r="AH294" s="56" t="n">
        <f aca="false">ROUND(X293*(1+N(Debts!$D$13)/12),2)</f>
        <v>0</v>
      </c>
      <c r="AI294" s="56" t="n">
        <f aca="false">ROUND(Y293*(1+N(Debts!$D$14)/12),2)</f>
        <v>0</v>
      </c>
      <c r="AJ294" s="56" t="n">
        <f aca="false">MIN(Z294,MAX(0,N(Debts!$E$5)))</f>
        <v>0</v>
      </c>
      <c r="AK294" s="56" t="n">
        <f aca="false">MIN(AA294,MAX(0,N(Debts!$E$6)))</f>
        <v>0</v>
      </c>
      <c r="AL294" s="56" t="n">
        <f aca="false">MIN(AB294,MAX(0,N(Debts!$E$7)))</f>
        <v>0</v>
      </c>
      <c r="AM294" s="56" t="n">
        <f aca="false">MIN(AC294,MAX(0,N(Debts!$E$8)))</f>
        <v>0</v>
      </c>
      <c r="AN294" s="56" t="n">
        <f aca="false">MIN(AD294,MAX(0,N(Debts!$E$9)))</f>
        <v>0</v>
      </c>
      <c r="AO294" s="56" t="n">
        <f aca="false">MIN(AE294,MAX(0,N(Debts!$E$10)))</f>
        <v>0</v>
      </c>
      <c r="AP294" s="56" t="n">
        <f aca="false">MIN(AF294,MAX(0,N(Debts!$E$11)))</f>
        <v>0</v>
      </c>
      <c r="AQ294" s="56" t="n">
        <f aca="false">MIN(AG294,MAX(0,N(Debts!$E$12)))</f>
        <v>0</v>
      </c>
      <c r="AR294" s="56" t="n">
        <f aca="false">MIN(AH294,MAX(0,N(Debts!$E$13)))</f>
        <v>0</v>
      </c>
      <c r="AS294" s="56" t="n">
        <f aca="false">MIN(AI294,MAX(0,N(Debts!$E$14)))</f>
        <v>0</v>
      </c>
    </row>
    <row r="295" customFormat="false" ht="15" hidden="false" customHeight="false" outlineLevel="0" collapsed="false">
      <c r="A295" s="53" t="n">
        <v>291</v>
      </c>
      <c r="B295" s="54" t="n">
        <f aca="false">EDATE('Start Here'!$B$8,290)</f>
        <v>55154</v>
      </c>
      <c r="C295" s="42" t="n">
        <f aca="false">SUM(F295:O295)</f>
        <v>0</v>
      </c>
      <c r="D295" s="42" t="n">
        <f aca="false">ROUND(SUM($Z295:$AI295)-SUM(P294:Y294),2)</f>
        <v>0</v>
      </c>
      <c r="E295" s="55" t="n">
        <f aca="false">SUM(P295:Y295)</f>
        <v>0</v>
      </c>
      <c r="F295" s="42" t="n">
        <f aca="false">AJ295+MIN(Z295-AJ295,MAX(0,'Start Here'!$B$10-SUM($AJ295:$AS295)-SUMPRODUCT(($Z$3:$AI$3&lt;Z$3)*($Z295:$AI295-$AJ295:$AS295))))</f>
        <v>0</v>
      </c>
      <c r="G295" s="42" t="n">
        <f aca="false">AK295+MIN(AA295-AK295,MAX(0,'Start Here'!$B$10-SUM($AJ295:$AS295)-SUMPRODUCT(($Z$3:$AI$3&lt;AA$3)*($Z295:$AI295-$AJ295:$AS295))))</f>
        <v>0</v>
      </c>
      <c r="H295" s="42" t="n">
        <f aca="false">AL295+MIN(AB295-AL295,MAX(0,'Start Here'!$B$10-SUM($AJ295:$AS295)-SUMPRODUCT(($Z$3:$AI$3&lt;AB$3)*($Z295:$AI295-$AJ295:$AS295))))</f>
        <v>0</v>
      </c>
      <c r="I295" s="42" t="n">
        <f aca="false">AM295+MIN(AC295-AM295,MAX(0,'Start Here'!$B$10-SUM($AJ295:$AS295)-SUMPRODUCT(($Z$3:$AI$3&lt;AC$3)*($Z295:$AI295-$AJ295:$AS295))))</f>
        <v>0</v>
      </c>
      <c r="J295" s="42" t="n">
        <f aca="false">AN295+MIN(AD295-AN295,MAX(0,'Start Here'!$B$10-SUM($AJ295:$AS295)-SUMPRODUCT(($Z$3:$AI$3&lt;AD$3)*($Z295:$AI295-$AJ295:$AS295))))</f>
        <v>0</v>
      </c>
      <c r="K295" s="42" t="n">
        <f aca="false">AO295+MIN(AE295-AO295,MAX(0,'Start Here'!$B$10-SUM($AJ295:$AS295)-SUMPRODUCT(($Z$3:$AI$3&lt;AE$3)*($Z295:$AI295-$AJ295:$AS295))))</f>
        <v>0</v>
      </c>
      <c r="L295" s="42" t="n">
        <f aca="false">AP295+MIN(AF295-AP295,MAX(0,'Start Here'!$B$10-SUM($AJ295:$AS295)-SUMPRODUCT(($Z$3:$AI$3&lt;AF$3)*($Z295:$AI295-$AJ295:$AS295))))</f>
        <v>0</v>
      </c>
      <c r="M295" s="42" t="n">
        <f aca="false">AQ295+MIN(AG295-AQ295,MAX(0,'Start Here'!$B$10-SUM($AJ295:$AS295)-SUMPRODUCT(($Z$3:$AI$3&lt;AG$3)*($Z295:$AI295-$AJ295:$AS295))))</f>
        <v>0</v>
      </c>
      <c r="N295" s="42" t="n">
        <f aca="false">AR295+MIN(AH295-AR295,MAX(0,'Start Here'!$B$10-SUM($AJ295:$AS295)-SUMPRODUCT(($Z$3:$AI$3&lt;AH$3)*($Z295:$AI295-$AJ295:$AS295))))</f>
        <v>0</v>
      </c>
      <c r="O295" s="42" t="n">
        <f aca="false">AS295+MIN(AI295-AS295,MAX(0,'Start Here'!$B$10-SUM($AJ295:$AS295)-SUMPRODUCT(($Z$3:$AI$3&lt;AI$3)*($Z295:$AI295-$AJ295:$AS295))))</f>
        <v>0</v>
      </c>
      <c r="P295" s="42" t="n">
        <f aca="false">ROUND(Z295-F295,2)</f>
        <v>0</v>
      </c>
      <c r="Q295" s="42" t="n">
        <f aca="false">ROUND(AA295-G295,2)</f>
        <v>0</v>
      </c>
      <c r="R295" s="42" t="n">
        <f aca="false">ROUND(AB295-H295,2)</f>
        <v>0</v>
      </c>
      <c r="S295" s="42" t="n">
        <f aca="false">ROUND(AC295-I295,2)</f>
        <v>0</v>
      </c>
      <c r="T295" s="42" t="n">
        <f aca="false">ROUND(AD295-J295,2)</f>
        <v>0</v>
      </c>
      <c r="U295" s="42" t="n">
        <f aca="false">ROUND(AE295-K295,2)</f>
        <v>0</v>
      </c>
      <c r="V295" s="42" t="n">
        <f aca="false">ROUND(AF295-L295,2)</f>
        <v>0</v>
      </c>
      <c r="W295" s="42" t="n">
        <f aca="false">ROUND(AG295-M295,2)</f>
        <v>0</v>
      </c>
      <c r="X295" s="42" t="n">
        <f aca="false">ROUND(AH295-N295,2)</f>
        <v>0</v>
      </c>
      <c r="Y295" s="42" t="n">
        <f aca="false">ROUND(AI295-O295,2)</f>
        <v>0</v>
      </c>
      <c r="Z295" s="56" t="n">
        <f aca="false">ROUND(P294*(1+N(Debts!$D$5)/12),2)</f>
        <v>0</v>
      </c>
      <c r="AA295" s="56" t="n">
        <f aca="false">ROUND(Q294*(1+N(Debts!$D$6)/12),2)</f>
        <v>0</v>
      </c>
      <c r="AB295" s="56" t="n">
        <f aca="false">ROUND(R294*(1+N(Debts!$D$7)/12),2)</f>
        <v>0</v>
      </c>
      <c r="AC295" s="56" t="n">
        <f aca="false">ROUND(S294*(1+N(Debts!$D$8)/12),2)</f>
        <v>0</v>
      </c>
      <c r="AD295" s="56" t="n">
        <f aca="false">ROUND(T294*(1+N(Debts!$D$9)/12),2)</f>
        <v>0</v>
      </c>
      <c r="AE295" s="56" t="n">
        <f aca="false">ROUND(U294*(1+N(Debts!$D$10)/12),2)</f>
        <v>0</v>
      </c>
      <c r="AF295" s="56" t="n">
        <f aca="false">ROUND(V294*(1+N(Debts!$D$11)/12),2)</f>
        <v>0</v>
      </c>
      <c r="AG295" s="56" t="n">
        <f aca="false">ROUND(W294*(1+N(Debts!$D$12)/12),2)</f>
        <v>0</v>
      </c>
      <c r="AH295" s="56" t="n">
        <f aca="false">ROUND(X294*(1+N(Debts!$D$13)/12),2)</f>
        <v>0</v>
      </c>
      <c r="AI295" s="56" t="n">
        <f aca="false">ROUND(Y294*(1+N(Debts!$D$14)/12),2)</f>
        <v>0</v>
      </c>
      <c r="AJ295" s="56" t="n">
        <f aca="false">MIN(Z295,MAX(0,N(Debts!$E$5)))</f>
        <v>0</v>
      </c>
      <c r="AK295" s="56" t="n">
        <f aca="false">MIN(AA295,MAX(0,N(Debts!$E$6)))</f>
        <v>0</v>
      </c>
      <c r="AL295" s="56" t="n">
        <f aca="false">MIN(AB295,MAX(0,N(Debts!$E$7)))</f>
        <v>0</v>
      </c>
      <c r="AM295" s="56" t="n">
        <f aca="false">MIN(AC295,MAX(0,N(Debts!$E$8)))</f>
        <v>0</v>
      </c>
      <c r="AN295" s="56" t="n">
        <f aca="false">MIN(AD295,MAX(0,N(Debts!$E$9)))</f>
        <v>0</v>
      </c>
      <c r="AO295" s="56" t="n">
        <f aca="false">MIN(AE295,MAX(0,N(Debts!$E$10)))</f>
        <v>0</v>
      </c>
      <c r="AP295" s="56" t="n">
        <f aca="false">MIN(AF295,MAX(0,N(Debts!$E$11)))</f>
        <v>0</v>
      </c>
      <c r="AQ295" s="56" t="n">
        <f aca="false">MIN(AG295,MAX(0,N(Debts!$E$12)))</f>
        <v>0</v>
      </c>
      <c r="AR295" s="56" t="n">
        <f aca="false">MIN(AH295,MAX(0,N(Debts!$E$13)))</f>
        <v>0</v>
      </c>
      <c r="AS295" s="56" t="n">
        <f aca="false">MIN(AI295,MAX(0,N(Debts!$E$14)))</f>
        <v>0</v>
      </c>
    </row>
    <row r="296" customFormat="false" ht="15" hidden="false" customHeight="false" outlineLevel="0" collapsed="false">
      <c r="A296" s="53" t="n">
        <v>292</v>
      </c>
      <c r="B296" s="54" t="n">
        <f aca="false">EDATE('Start Here'!$B$8,291)</f>
        <v>55185</v>
      </c>
      <c r="C296" s="42" t="n">
        <f aca="false">SUM(F296:O296)</f>
        <v>0</v>
      </c>
      <c r="D296" s="42" t="n">
        <f aca="false">ROUND(SUM($Z296:$AI296)-SUM(P295:Y295),2)</f>
        <v>0</v>
      </c>
      <c r="E296" s="55" t="n">
        <f aca="false">SUM(P296:Y296)</f>
        <v>0</v>
      </c>
      <c r="F296" s="42" t="n">
        <f aca="false">AJ296+MIN(Z296-AJ296,MAX(0,'Start Here'!$B$10-SUM($AJ296:$AS296)-SUMPRODUCT(($Z$3:$AI$3&lt;Z$3)*($Z296:$AI296-$AJ296:$AS296))))</f>
        <v>0</v>
      </c>
      <c r="G296" s="42" t="n">
        <f aca="false">AK296+MIN(AA296-AK296,MAX(0,'Start Here'!$B$10-SUM($AJ296:$AS296)-SUMPRODUCT(($Z$3:$AI$3&lt;AA$3)*($Z296:$AI296-$AJ296:$AS296))))</f>
        <v>0</v>
      </c>
      <c r="H296" s="42" t="n">
        <f aca="false">AL296+MIN(AB296-AL296,MAX(0,'Start Here'!$B$10-SUM($AJ296:$AS296)-SUMPRODUCT(($Z$3:$AI$3&lt;AB$3)*($Z296:$AI296-$AJ296:$AS296))))</f>
        <v>0</v>
      </c>
      <c r="I296" s="42" t="n">
        <f aca="false">AM296+MIN(AC296-AM296,MAX(0,'Start Here'!$B$10-SUM($AJ296:$AS296)-SUMPRODUCT(($Z$3:$AI$3&lt;AC$3)*($Z296:$AI296-$AJ296:$AS296))))</f>
        <v>0</v>
      </c>
      <c r="J296" s="42" t="n">
        <f aca="false">AN296+MIN(AD296-AN296,MAX(0,'Start Here'!$B$10-SUM($AJ296:$AS296)-SUMPRODUCT(($Z$3:$AI$3&lt;AD$3)*($Z296:$AI296-$AJ296:$AS296))))</f>
        <v>0</v>
      </c>
      <c r="K296" s="42" t="n">
        <f aca="false">AO296+MIN(AE296-AO296,MAX(0,'Start Here'!$B$10-SUM($AJ296:$AS296)-SUMPRODUCT(($Z$3:$AI$3&lt;AE$3)*($Z296:$AI296-$AJ296:$AS296))))</f>
        <v>0</v>
      </c>
      <c r="L296" s="42" t="n">
        <f aca="false">AP296+MIN(AF296-AP296,MAX(0,'Start Here'!$B$10-SUM($AJ296:$AS296)-SUMPRODUCT(($Z$3:$AI$3&lt;AF$3)*($Z296:$AI296-$AJ296:$AS296))))</f>
        <v>0</v>
      </c>
      <c r="M296" s="42" t="n">
        <f aca="false">AQ296+MIN(AG296-AQ296,MAX(0,'Start Here'!$B$10-SUM($AJ296:$AS296)-SUMPRODUCT(($Z$3:$AI$3&lt;AG$3)*($Z296:$AI296-$AJ296:$AS296))))</f>
        <v>0</v>
      </c>
      <c r="N296" s="42" t="n">
        <f aca="false">AR296+MIN(AH296-AR296,MAX(0,'Start Here'!$B$10-SUM($AJ296:$AS296)-SUMPRODUCT(($Z$3:$AI$3&lt;AH$3)*($Z296:$AI296-$AJ296:$AS296))))</f>
        <v>0</v>
      </c>
      <c r="O296" s="42" t="n">
        <f aca="false">AS296+MIN(AI296-AS296,MAX(0,'Start Here'!$B$10-SUM($AJ296:$AS296)-SUMPRODUCT(($Z$3:$AI$3&lt;AI$3)*($Z296:$AI296-$AJ296:$AS296))))</f>
        <v>0</v>
      </c>
      <c r="P296" s="42" t="n">
        <f aca="false">ROUND(Z296-F296,2)</f>
        <v>0</v>
      </c>
      <c r="Q296" s="42" t="n">
        <f aca="false">ROUND(AA296-G296,2)</f>
        <v>0</v>
      </c>
      <c r="R296" s="42" t="n">
        <f aca="false">ROUND(AB296-H296,2)</f>
        <v>0</v>
      </c>
      <c r="S296" s="42" t="n">
        <f aca="false">ROUND(AC296-I296,2)</f>
        <v>0</v>
      </c>
      <c r="T296" s="42" t="n">
        <f aca="false">ROUND(AD296-J296,2)</f>
        <v>0</v>
      </c>
      <c r="U296" s="42" t="n">
        <f aca="false">ROUND(AE296-K296,2)</f>
        <v>0</v>
      </c>
      <c r="V296" s="42" t="n">
        <f aca="false">ROUND(AF296-L296,2)</f>
        <v>0</v>
      </c>
      <c r="W296" s="42" t="n">
        <f aca="false">ROUND(AG296-M296,2)</f>
        <v>0</v>
      </c>
      <c r="X296" s="42" t="n">
        <f aca="false">ROUND(AH296-N296,2)</f>
        <v>0</v>
      </c>
      <c r="Y296" s="42" t="n">
        <f aca="false">ROUND(AI296-O296,2)</f>
        <v>0</v>
      </c>
      <c r="Z296" s="56" t="n">
        <f aca="false">ROUND(P295*(1+N(Debts!$D$5)/12),2)</f>
        <v>0</v>
      </c>
      <c r="AA296" s="56" t="n">
        <f aca="false">ROUND(Q295*(1+N(Debts!$D$6)/12),2)</f>
        <v>0</v>
      </c>
      <c r="AB296" s="56" t="n">
        <f aca="false">ROUND(R295*(1+N(Debts!$D$7)/12),2)</f>
        <v>0</v>
      </c>
      <c r="AC296" s="56" t="n">
        <f aca="false">ROUND(S295*(1+N(Debts!$D$8)/12),2)</f>
        <v>0</v>
      </c>
      <c r="AD296" s="56" t="n">
        <f aca="false">ROUND(T295*(1+N(Debts!$D$9)/12),2)</f>
        <v>0</v>
      </c>
      <c r="AE296" s="56" t="n">
        <f aca="false">ROUND(U295*(1+N(Debts!$D$10)/12),2)</f>
        <v>0</v>
      </c>
      <c r="AF296" s="56" t="n">
        <f aca="false">ROUND(V295*(1+N(Debts!$D$11)/12),2)</f>
        <v>0</v>
      </c>
      <c r="AG296" s="56" t="n">
        <f aca="false">ROUND(W295*(1+N(Debts!$D$12)/12),2)</f>
        <v>0</v>
      </c>
      <c r="AH296" s="56" t="n">
        <f aca="false">ROUND(X295*(1+N(Debts!$D$13)/12),2)</f>
        <v>0</v>
      </c>
      <c r="AI296" s="56" t="n">
        <f aca="false">ROUND(Y295*(1+N(Debts!$D$14)/12),2)</f>
        <v>0</v>
      </c>
      <c r="AJ296" s="56" t="n">
        <f aca="false">MIN(Z296,MAX(0,N(Debts!$E$5)))</f>
        <v>0</v>
      </c>
      <c r="AK296" s="56" t="n">
        <f aca="false">MIN(AA296,MAX(0,N(Debts!$E$6)))</f>
        <v>0</v>
      </c>
      <c r="AL296" s="56" t="n">
        <f aca="false">MIN(AB296,MAX(0,N(Debts!$E$7)))</f>
        <v>0</v>
      </c>
      <c r="AM296" s="56" t="n">
        <f aca="false">MIN(AC296,MAX(0,N(Debts!$E$8)))</f>
        <v>0</v>
      </c>
      <c r="AN296" s="56" t="n">
        <f aca="false">MIN(AD296,MAX(0,N(Debts!$E$9)))</f>
        <v>0</v>
      </c>
      <c r="AO296" s="56" t="n">
        <f aca="false">MIN(AE296,MAX(0,N(Debts!$E$10)))</f>
        <v>0</v>
      </c>
      <c r="AP296" s="56" t="n">
        <f aca="false">MIN(AF296,MAX(0,N(Debts!$E$11)))</f>
        <v>0</v>
      </c>
      <c r="AQ296" s="56" t="n">
        <f aca="false">MIN(AG296,MAX(0,N(Debts!$E$12)))</f>
        <v>0</v>
      </c>
      <c r="AR296" s="56" t="n">
        <f aca="false">MIN(AH296,MAX(0,N(Debts!$E$13)))</f>
        <v>0</v>
      </c>
      <c r="AS296" s="56" t="n">
        <f aca="false">MIN(AI296,MAX(0,N(Debts!$E$14)))</f>
        <v>0</v>
      </c>
    </row>
    <row r="297" customFormat="false" ht="15" hidden="false" customHeight="false" outlineLevel="0" collapsed="false">
      <c r="A297" s="53" t="n">
        <v>293</v>
      </c>
      <c r="B297" s="54" t="n">
        <f aca="false">EDATE('Start Here'!$B$8,292)</f>
        <v>55213</v>
      </c>
      <c r="C297" s="42" t="n">
        <f aca="false">SUM(F297:O297)</f>
        <v>0</v>
      </c>
      <c r="D297" s="42" t="n">
        <f aca="false">ROUND(SUM($Z297:$AI297)-SUM(P296:Y296),2)</f>
        <v>0</v>
      </c>
      <c r="E297" s="55" t="n">
        <f aca="false">SUM(P297:Y297)</f>
        <v>0</v>
      </c>
      <c r="F297" s="42" t="n">
        <f aca="false">AJ297+MIN(Z297-AJ297,MAX(0,'Start Here'!$B$10-SUM($AJ297:$AS297)-SUMPRODUCT(($Z$3:$AI$3&lt;Z$3)*($Z297:$AI297-$AJ297:$AS297))))</f>
        <v>0</v>
      </c>
      <c r="G297" s="42" t="n">
        <f aca="false">AK297+MIN(AA297-AK297,MAX(0,'Start Here'!$B$10-SUM($AJ297:$AS297)-SUMPRODUCT(($Z$3:$AI$3&lt;AA$3)*($Z297:$AI297-$AJ297:$AS297))))</f>
        <v>0</v>
      </c>
      <c r="H297" s="42" t="n">
        <f aca="false">AL297+MIN(AB297-AL297,MAX(0,'Start Here'!$B$10-SUM($AJ297:$AS297)-SUMPRODUCT(($Z$3:$AI$3&lt;AB$3)*($Z297:$AI297-$AJ297:$AS297))))</f>
        <v>0</v>
      </c>
      <c r="I297" s="42" t="n">
        <f aca="false">AM297+MIN(AC297-AM297,MAX(0,'Start Here'!$B$10-SUM($AJ297:$AS297)-SUMPRODUCT(($Z$3:$AI$3&lt;AC$3)*($Z297:$AI297-$AJ297:$AS297))))</f>
        <v>0</v>
      </c>
      <c r="J297" s="42" t="n">
        <f aca="false">AN297+MIN(AD297-AN297,MAX(0,'Start Here'!$B$10-SUM($AJ297:$AS297)-SUMPRODUCT(($Z$3:$AI$3&lt;AD$3)*($Z297:$AI297-$AJ297:$AS297))))</f>
        <v>0</v>
      </c>
      <c r="K297" s="42" t="n">
        <f aca="false">AO297+MIN(AE297-AO297,MAX(0,'Start Here'!$B$10-SUM($AJ297:$AS297)-SUMPRODUCT(($Z$3:$AI$3&lt;AE$3)*($Z297:$AI297-$AJ297:$AS297))))</f>
        <v>0</v>
      </c>
      <c r="L297" s="42" t="n">
        <f aca="false">AP297+MIN(AF297-AP297,MAX(0,'Start Here'!$B$10-SUM($AJ297:$AS297)-SUMPRODUCT(($Z$3:$AI$3&lt;AF$3)*($Z297:$AI297-$AJ297:$AS297))))</f>
        <v>0</v>
      </c>
      <c r="M297" s="42" t="n">
        <f aca="false">AQ297+MIN(AG297-AQ297,MAX(0,'Start Here'!$B$10-SUM($AJ297:$AS297)-SUMPRODUCT(($Z$3:$AI$3&lt;AG$3)*($Z297:$AI297-$AJ297:$AS297))))</f>
        <v>0</v>
      </c>
      <c r="N297" s="42" t="n">
        <f aca="false">AR297+MIN(AH297-AR297,MAX(0,'Start Here'!$B$10-SUM($AJ297:$AS297)-SUMPRODUCT(($Z$3:$AI$3&lt;AH$3)*($Z297:$AI297-$AJ297:$AS297))))</f>
        <v>0</v>
      </c>
      <c r="O297" s="42" t="n">
        <f aca="false">AS297+MIN(AI297-AS297,MAX(0,'Start Here'!$B$10-SUM($AJ297:$AS297)-SUMPRODUCT(($Z$3:$AI$3&lt;AI$3)*($Z297:$AI297-$AJ297:$AS297))))</f>
        <v>0</v>
      </c>
      <c r="P297" s="42" t="n">
        <f aca="false">ROUND(Z297-F297,2)</f>
        <v>0</v>
      </c>
      <c r="Q297" s="42" t="n">
        <f aca="false">ROUND(AA297-G297,2)</f>
        <v>0</v>
      </c>
      <c r="R297" s="42" t="n">
        <f aca="false">ROUND(AB297-H297,2)</f>
        <v>0</v>
      </c>
      <c r="S297" s="42" t="n">
        <f aca="false">ROUND(AC297-I297,2)</f>
        <v>0</v>
      </c>
      <c r="T297" s="42" t="n">
        <f aca="false">ROUND(AD297-J297,2)</f>
        <v>0</v>
      </c>
      <c r="U297" s="42" t="n">
        <f aca="false">ROUND(AE297-K297,2)</f>
        <v>0</v>
      </c>
      <c r="V297" s="42" t="n">
        <f aca="false">ROUND(AF297-L297,2)</f>
        <v>0</v>
      </c>
      <c r="W297" s="42" t="n">
        <f aca="false">ROUND(AG297-M297,2)</f>
        <v>0</v>
      </c>
      <c r="X297" s="42" t="n">
        <f aca="false">ROUND(AH297-N297,2)</f>
        <v>0</v>
      </c>
      <c r="Y297" s="42" t="n">
        <f aca="false">ROUND(AI297-O297,2)</f>
        <v>0</v>
      </c>
      <c r="Z297" s="56" t="n">
        <f aca="false">ROUND(P296*(1+N(Debts!$D$5)/12),2)</f>
        <v>0</v>
      </c>
      <c r="AA297" s="56" t="n">
        <f aca="false">ROUND(Q296*(1+N(Debts!$D$6)/12),2)</f>
        <v>0</v>
      </c>
      <c r="AB297" s="56" t="n">
        <f aca="false">ROUND(R296*(1+N(Debts!$D$7)/12),2)</f>
        <v>0</v>
      </c>
      <c r="AC297" s="56" t="n">
        <f aca="false">ROUND(S296*(1+N(Debts!$D$8)/12),2)</f>
        <v>0</v>
      </c>
      <c r="AD297" s="56" t="n">
        <f aca="false">ROUND(T296*(1+N(Debts!$D$9)/12),2)</f>
        <v>0</v>
      </c>
      <c r="AE297" s="56" t="n">
        <f aca="false">ROUND(U296*(1+N(Debts!$D$10)/12),2)</f>
        <v>0</v>
      </c>
      <c r="AF297" s="56" t="n">
        <f aca="false">ROUND(V296*(1+N(Debts!$D$11)/12),2)</f>
        <v>0</v>
      </c>
      <c r="AG297" s="56" t="n">
        <f aca="false">ROUND(W296*(1+N(Debts!$D$12)/12),2)</f>
        <v>0</v>
      </c>
      <c r="AH297" s="56" t="n">
        <f aca="false">ROUND(X296*(1+N(Debts!$D$13)/12),2)</f>
        <v>0</v>
      </c>
      <c r="AI297" s="56" t="n">
        <f aca="false">ROUND(Y296*(1+N(Debts!$D$14)/12),2)</f>
        <v>0</v>
      </c>
      <c r="AJ297" s="56" t="n">
        <f aca="false">MIN(Z297,MAX(0,N(Debts!$E$5)))</f>
        <v>0</v>
      </c>
      <c r="AK297" s="56" t="n">
        <f aca="false">MIN(AA297,MAX(0,N(Debts!$E$6)))</f>
        <v>0</v>
      </c>
      <c r="AL297" s="56" t="n">
        <f aca="false">MIN(AB297,MAX(0,N(Debts!$E$7)))</f>
        <v>0</v>
      </c>
      <c r="AM297" s="56" t="n">
        <f aca="false">MIN(AC297,MAX(0,N(Debts!$E$8)))</f>
        <v>0</v>
      </c>
      <c r="AN297" s="56" t="n">
        <f aca="false">MIN(AD297,MAX(0,N(Debts!$E$9)))</f>
        <v>0</v>
      </c>
      <c r="AO297" s="56" t="n">
        <f aca="false">MIN(AE297,MAX(0,N(Debts!$E$10)))</f>
        <v>0</v>
      </c>
      <c r="AP297" s="56" t="n">
        <f aca="false">MIN(AF297,MAX(0,N(Debts!$E$11)))</f>
        <v>0</v>
      </c>
      <c r="AQ297" s="56" t="n">
        <f aca="false">MIN(AG297,MAX(0,N(Debts!$E$12)))</f>
        <v>0</v>
      </c>
      <c r="AR297" s="56" t="n">
        <f aca="false">MIN(AH297,MAX(0,N(Debts!$E$13)))</f>
        <v>0</v>
      </c>
      <c r="AS297" s="56" t="n">
        <f aca="false">MIN(AI297,MAX(0,N(Debts!$E$14)))</f>
        <v>0</v>
      </c>
    </row>
    <row r="298" customFormat="false" ht="15" hidden="false" customHeight="false" outlineLevel="0" collapsed="false">
      <c r="A298" s="53" t="n">
        <v>294</v>
      </c>
      <c r="B298" s="54" t="n">
        <f aca="false">EDATE('Start Here'!$B$8,293)</f>
        <v>55244</v>
      </c>
      <c r="C298" s="42" t="n">
        <f aca="false">SUM(F298:O298)</f>
        <v>0</v>
      </c>
      <c r="D298" s="42" t="n">
        <f aca="false">ROUND(SUM($Z298:$AI298)-SUM(P297:Y297),2)</f>
        <v>0</v>
      </c>
      <c r="E298" s="55" t="n">
        <f aca="false">SUM(P298:Y298)</f>
        <v>0</v>
      </c>
      <c r="F298" s="42" t="n">
        <f aca="false">AJ298+MIN(Z298-AJ298,MAX(0,'Start Here'!$B$10-SUM($AJ298:$AS298)-SUMPRODUCT(($Z$3:$AI$3&lt;Z$3)*($Z298:$AI298-$AJ298:$AS298))))</f>
        <v>0</v>
      </c>
      <c r="G298" s="42" t="n">
        <f aca="false">AK298+MIN(AA298-AK298,MAX(0,'Start Here'!$B$10-SUM($AJ298:$AS298)-SUMPRODUCT(($Z$3:$AI$3&lt;AA$3)*($Z298:$AI298-$AJ298:$AS298))))</f>
        <v>0</v>
      </c>
      <c r="H298" s="42" t="n">
        <f aca="false">AL298+MIN(AB298-AL298,MAX(0,'Start Here'!$B$10-SUM($AJ298:$AS298)-SUMPRODUCT(($Z$3:$AI$3&lt;AB$3)*($Z298:$AI298-$AJ298:$AS298))))</f>
        <v>0</v>
      </c>
      <c r="I298" s="42" t="n">
        <f aca="false">AM298+MIN(AC298-AM298,MAX(0,'Start Here'!$B$10-SUM($AJ298:$AS298)-SUMPRODUCT(($Z$3:$AI$3&lt;AC$3)*($Z298:$AI298-$AJ298:$AS298))))</f>
        <v>0</v>
      </c>
      <c r="J298" s="42" t="n">
        <f aca="false">AN298+MIN(AD298-AN298,MAX(0,'Start Here'!$B$10-SUM($AJ298:$AS298)-SUMPRODUCT(($Z$3:$AI$3&lt;AD$3)*($Z298:$AI298-$AJ298:$AS298))))</f>
        <v>0</v>
      </c>
      <c r="K298" s="42" t="n">
        <f aca="false">AO298+MIN(AE298-AO298,MAX(0,'Start Here'!$B$10-SUM($AJ298:$AS298)-SUMPRODUCT(($Z$3:$AI$3&lt;AE$3)*($Z298:$AI298-$AJ298:$AS298))))</f>
        <v>0</v>
      </c>
      <c r="L298" s="42" t="n">
        <f aca="false">AP298+MIN(AF298-AP298,MAX(0,'Start Here'!$B$10-SUM($AJ298:$AS298)-SUMPRODUCT(($Z$3:$AI$3&lt;AF$3)*($Z298:$AI298-$AJ298:$AS298))))</f>
        <v>0</v>
      </c>
      <c r="M298" s="42" t="n">
        <f aca="false">AQ298+MIN(AG298-AQ298,MAX(0,'Start Here'!$B$10-SUM($AJ298:$AS298)-SUMPRODUCT(($Z$3:$AI$3&lt;AG$3)*($Z298:$AI298-$AJ298:$AS298))))</f>
        <v>0</v>
      </c>
      <c r="N298" s="42" t="n">
        <f aca="false">AR298+MIN(AH298-AR298,MAX(0,'Start Here'!$B$10-SUM($AJ298:$AS298)-SUMPRODUCT(($Z$3:$AI$3&lt;AH$3)*($Z298:$AI298-$AJ298:$AS298))))</f>
        <v>0</v>
      </c>
      <c r="O298" s="42" t="n">
        <f aca="false">AS298+MIN(AI298-AS298,MAX(0,'Start Here'!$B$10-SUM($AJ298:$AS298)-SUMPRODUCT(($Z$3:$AI$3&lt;AI$3)*($Z298:$AI298-$AJ298:$AS298))))</f>
        <v>0</v>
      </c>
      <c r="P298" s="42" t="n">
        <f aca="false">ROUND(Z298-F298,2)</f>
        <v>0</v>
      </c>
      <c r="Q298" s="42" t="n">
        <f aca="false">ROUND(AA298-G298,2)</f>
        <v>0</v>
      </c>
      <c r="R298" s="42" t="n">
        <f aca="false">ROUND(AB298-H298,2)</f>
        <v>0</v>
      </c>
      <c r="S298" s="42" t="n">
        <f aca="false">ROUND(AC298-I298,2)</f>
        <v>0</v>
      </c>
      <c r="T298" s="42" t="n">
        <f aca="false">ROUND(AD298-J298,2)</f>
        <v>0</v>
      </c>
      <c r="U298" s="42" t="n">
        <f aca="false">ROUND(AE298-K298,2)</f>
        <v>0</v>
      </c>
      <c r="V298" s="42" t="n">
        <f aca="false">ROUND(AF298-L298,2)</f>
        <v>0</v>
      </c>
      <c r="W298" s="42" t="n">
        <f aca="false">ROUND(AG298-M298,2)</f>
        <v>0</v>
      </c>
      <c r="X298" s="42" t="n">
        <f aca="false">ROUND(AH298-N298,2)</f>
        <v>0</v>
      </c>
      <c r="Y298" s="42" t="n">
        <f aca="false">ROUND(AI298-O298,2)</f>
        <v>0</v>
      </c>
      <c r="Z298" s="56" t="n">
        <f aca="false">ROUND(P297*(1+N(Debts!$D$5)/12),2)</f>
        <v>0</v>
      </c>
      <c r="AA298" s="56" t="n">
        <f aca="false">ROUND(Q297*(1+N(Debts!$D$6)/12),2)</f>
        <v>0</v>
      </c>
      <c r="AB298" s="56" t="n">
        <f aca="false">ROUND(R297*(1+N(Debts!$D$7)/12),2)</f>
        <v>0</v>
      </c>
      <c r="AC298" s="56" t="n">
        <f aca="false">ROUND(S297*(1+N(Debts!$D$8)/12),2)</f>
        <v>0</v>
      </c>
      <c r="AD298" s="56" t="n">
        <f aca="false">ROUND(T297*(1+N(Debts!$D$9)/12),2)</f>
        <v>0</v>
      </c>
      <c r="AE298" s="56" t="n">
        <f aca="false">ROUND(U297*(1+N(Debts!$D$10)/12),2)</f>
        <v>0</v>
      </c>
      <c r="AF298" s="56" t="n">
        <f aca="false">ROUND(V297*(1+N(Debts!$D$11)/12),2)</f>
        <v>0</v>
      </c>
      <c r="AG298" s="56" t="n">
        <f aca="false">ROUND(W297*(1+N(Debts!$D$12)/12),2)</f>
        <v>0</v>
      </c>
      <c r="AH298" s="56" t="n">
        <f aca="false">ROUND(X297*(1+N(Debts!$D$13)/12),2)</f>
        <v>0</v>
      </c>
      <c r="AI298" s="56" t="n">
        <f aca="false">ROUND(Y297*(1+N(Debts!$D$14)/12),2)</f>
        <v>0</v>
      </c>
      <c r="AJ298" s="56" t="n">
        <f aca="false">MIN(Z298,MAX(0,N(Debts!$E$5)))</f>
        <v>0</v>
      </c>
      <c r="AK298" s="56" t="n">
        <f aca="false">MIN(AA298,MAX(0,N(Debts!$E$6)))</f>
        <v>0</v>
      </c>
      <c r="AL298" s="56" t="n">
        <f aca="false">MIN(AB298,MAX(0,N(Debts!$E$7)))</f>
        <v>0</v>
      </c>
      <c r="AM298" s="56" t="n">
        <f aca="false">MIN(AC298,MAX(0,N(Debts!$E$8)))</f>
        <v>0</v>
      </c>
      <c r="AN298" s="56" t="n">
        <f aca="false">MIN(AD298,MAX(0,N(Debts!$E$9)))</f>
        <v>0</v>
      </c>
      <c r="AO298" s="56" t="n">
        <f aca="false">MIN(AE298,MAX(0,N(Debts!$E$10)))</f>
        <v>0</v>
      </c>
      <c r="AP298" s="56" t="n">
        <f aca="false">MIN(AF298,MAX(0,N(Debts!$E$11)))</f>
        <v>0</v>
      </c>
      <c r="AQ298" s="56" t="n">
        <f aca="false">MIN(AG298,MAX(0,N(Debts!$E$12)))</f>
        <v>0</v>
      </c>
      <c r="AR298" s="56" t="n">
        <f aca="false">MIN(AH298,MAX(0,N(Debts!$E$13)))</f>
        <v>0</v>
      </c>
      <c r="AS298" s="56" t="n">
        <f aca="false">MIN(AI298,MAX(0,N(Debts!$E$14)))</f>
        <v>0</v>
      </c>
    </row>
    <row r="299" customFormat="false" ht="15" hidden="false" customHeight="false" outlineLevel="0" collapsed="false">
      <c r="A299" s="53" t="n">
        <v>295</v>
      </c>
      <c r="B299" s="54" t="n">
        <f aca="false">EDATE('Start Here'!$B$8,294)</f>
        <v>55274</v>
      </c>
      <c r="C299" s="42" t="n">
        <f aca="false">SUM(F299:O299)</f>
        <v>0</v>
      </c>
      <c r="D299" s="42" t="n">
        <f aca="false">ROUND(SUM($Z299:$AI299)-SUM(P298:Y298),2)</f>
        <v>0</v>
      </c>
      <c r="E299" s="55" t="n">
        <f aca="false">SUM(P299:Y299)</f>
        <v>0</v>
      </c>
      <c r="F299" s="42" t="n">
        <f aca="false">AJ299+MIN(Z299-AJ299,MAX(0,'Start Here'!$B$10-SUM($AJ299:$AS299)-SUMPRODUCT(($Z$3:$AI$3&lt;Z$3)*($Z299:$AI299-$AJ299:$AS299))))</f>
        <v>0</v>
      </c>
      <c r="G299" s="42" t="n">
        <f aca="false">AK299+MIN(AA299-AK299,MAX(0,'Start Here'!$B$10-SUM($AJ299:$AS299)-SUMPRODUCT(($Z$3:$AI$3&lt;AA$3)*($Z299:$AI299-$AJ299:$AS299))))</f>
        <v>0</v>
      </c>
      <c r="H299" s="42" t="n">
        <f aca="false">AL299+MIN(AB299-AL299,MAX(0,'Start Here'!$B$10-SUM($AJ299:$AS299)-SUMPRODUCT(($Z$3:$AI$3&lt;AB$3)*($Z299:$AI299-$AJ299:$AS299))))</f>
        <v>0</v>
      </c>
      <c r="I299" s="42" t="n">
        <f aca="false">AM299+MIN(AC299-AM299,MAX(0,'Start Here'!$B$10-SUM($AJ299:$AS299)-SUMPRODUCT(($Z$3:$AI$3&lt;AC$3)*($Z299:$AI299-$AJ299:$AS299))))</f>
        <v>0</v>
      </c>
      <c r="J299" s="42" t="n">
        <f aca="false">AN299+MIN(AD299-AN299,MAX(0,'Start Here'!$B$10-SUM($AJ299:$AS299)-SUMPRODUCT(($Z$3:$AI$3&lt;AD$3)*($Z299:$AI299-$AJ299:$AS299))))</f>
        <v>0</v>
      </c>
      <c r="K299" s="42" t="n">
        <f aca="false">AO299+MIN(AE299-AO299,MAX(0,'Start Here'!$B$10-SUM($AJ299:$AS299)-SUMPRODUCT(($Z$3:$AI$3&lt;AE$3)*($Z299:$AI299-$AJ299:$AS299))))</f>
        <v>0</v>
      </c>
      <c r="L299" s="42" t="n">
        <f aca="false">AP299+MIN(AF299-AP299,MAX(0,'Start Here'!$B$10-SUM($AJ299:$AS299)-SUMPRODUCT(($Z$3:$AI$3&lt;AF$3)*($Z299:$AI299-$AJ299:$AS299))))</f>
        <v>0</v>
      </c>
      <c r="M299" s="42" t="n">
        <f aca="false">AQ299+MIN(AG299-AQ299,MAX(0,'Start Here'!$B$10-SUM($AJ299:$AS299)-SUMPRODUCT(($Z$3:$AI$3&lt;AG$3)*($Z299:$AI299-$AJ299:$AS299))))</f>
        <v>0</v>
      </c>
      <c r="N299" s="42" t="n">
        <f aca="false">AR299+MIN(AH299-AR299,MAX(0,'Start Here'!$B$10-SUM($AJ299:$AS299)-SUMPRODUCT(($Z$3:$AI$3&lt;AH$3)*($Z299:$AI299-$AJ299:$AS299))))</f>
        <v>0</v>
      </c>
      <c r="O299" s="42" t="n">
        <f aca="false">AS299+MIN(AI299-AS299,MAX(0,'Start Here'!$B$10-SUM($AJ299:$AS299)-SUMPRODUCT(($Z$3:$AI$3&lt;AI$3)*($Z299:$AI299-$AJ299:$AS299))))</f>
        <v>0</v>
      </c>
      <c r="P299" s="42" t="n">
        <f aca="false">ROUND(Z299-F299,2)</f>
        <v>0</v>
      </c>
      <c r="Q299" s="42" t="n">
        <f aca="false">ROUND(AA299-G299,2)</f>
        <v>0</v>
      </c>
      <c r="R299" s="42" t="n">
        <f aca="false">ROUND(AB299-H299,2)</f>
        <v>0</v>
      </c>
      <c r="S299" s="42" t="n">
        <f aca="false">ROUND(AC299-I299,2)</f>
        <v>0</v>
      </c>
      <c r="T299" s="42" t="n">
        <f aca="false">ROUND(AD299-J299,2)</f>
        <v>0</v>
      </c>
      <c r="U299" s="42" t="n">
        <f aca="false">ROUND(AE299-K299,2)</f>
        <v>0</v>
      </c>
      <c r="V299" s="42" t="n">
        <f aca="false">ROUND(AF299-L299,2)</f>
        <v>0</v>
      </c>
      <c r="W299" s="42" t="n">
        <f aca="false">ROUND(AG299-M299,2)</f>
        <v>0</v>
      </c>
      <c r="X299" s="42" t="n">
        <f aca="false">ROUND(AH299-N299,2)</f>
        <v>0</v>
      </c>
      <c r="Y299" s="42" t="n">
        <f aca="false">ROUND(AI299-O299,2)</f>
        <v>0</v>
      </c>
      <c r="Z299" s="56" t="n">
        <f aca="false">ROUND(P298*(1+N(Debts!$D$5)/12),2)</f>
        <v>0</v>
      </c>
      <c r="AA299" s="56" t="n">
        <f aca="false">ROUND(Q298*(1+N(Debts!$D$6)/12),2)</f>
        <v>0</v>
      </c>
      <c r="AB299" s="56" t="n">
        <f aca="false">ROUND(R298*(1+N(Debts!$D$7)/12),2)</f>
        <v>0</v>
      </c>
      <c r="AC299" s="56" t="n">
        <f aca="false">ROUND(S298*(1+N(Debts!$D$8)/12),2)</f>
        <v>0</v>
      </c>
      <c r="AD299" s="56" t="n">
        <f aca="false">ROUND(T298*(1+N(Debts!$D$9)/12),2)</f>
        <v>0</v>
      </c>
      <c r="AE299" s="56" t="n">
        <f aca="false">ROUND(U298*(1+N(Debts!$D$10)/12),2)</f>
        <v>0</v>
      </c>
      <c r="AF299" s="56" t="n">
        <f aca="false">ROUND(V298*(1+N(Debts!$D$11)/12),2)</f>
        <v>0</v>
      </c>
      <c r="AG299" s="56" t="n">
        <f aca="false">ROUND(W298*(1+N(Debts!$D$12)/12),2)</f>
        <v>0</v>
      </c>
      <c r="AH299" s="56" t="n">
        <f aca="false">ROUND(X298*(1+N(Debts!$D$13)/12),2)</f>
        <v>0</v>
      </c>
      <c r="AI299" s="56" t="n">
        <f aca="false">ROUND(Y298*(1+N(Debts!$D$14)/12),2)</f>
        <v>0</v>
      </c>
      <c r="AJ299" s="56" t="n">
        <f aca="false">MIN(Z299,MAX(0,N(Debts!$E$5)))</f>
        <v>0</v>
      </c>
      <c r="AK299" s="56" t="n">
        <f aca="false">MIN(AA299,MAX(0,N(Debts!$E$6)))</f>
        <v>0</v>
      </c>
      <c r="AL299" s="56" t="n">
        <f aca="false">MIN(AB299,MAX(0,N(Debts!$E$7)))</f>
        <v>0</v>
      </c>
      <c r="AM299" s="56" t="n">
        <f aca="false">MIN(AC299,MAX(0,N(Debts!$E$8)))</f>
        <v>0</v>
      </c>
      <c r="AN299" s="56" t="n">
        <f aca="false">MIN(AD299,MAX(0,N(Debts!$E$9)))</f>
        <v>0</v>
      </c>
      <c r="AO299" s="56" t="n">
        <f aca="false">MIN(AE299,MAX(0,N(Debts!$E$10)))</f>
        <v>0</v>
      </c>
      <c r="AP299" s="56" t="n">
        <f aca="false">MIN(AF299,MAX(0,N(Debts!$E$11)))</f>
        <v>0</v>
      </c>
      <c r="AQ299" s="56" t="n">
        <f aca="false">MIN(AG299,MAX(0,N(Debts!$E$12)))</f>
        <v>0</v>
      </c>
      <c r="AR299" s="56" t="n">
        <f aca="false">MIN(AH299,MAX(0,N(Debts!$E$13)))</f>
        <v>0</v>
      </c>
      <c r="AS299" s="56" t="n">
        <f aca="false">MIN(AI299,MAX(0,N(Debts!$E$14)))</f>
        <v>0</v>
      </c>
    </row>
    <row r="300" customFormat="false" ht="15" hidden="false" customHeight="false" outlineLevel="0" collapsed="false">
      <c r="A300" s="53" t="n">
        <v>296</v>
      </c>
      <c r="B300" s="54" t="n">
        <f aca="false">EDATE('Start Here'!$B$8,295)</f>
        <v>55305</v>
      </c>
      <c r="C300" s="42" t="n">
        <f aca="false">SUM(F300:O300)</f>
        <v>0</v>
      </c>
      <c r="D300" s="42" t="n">
        <f aca="false">ROUND(SUM($Z300:$AI300)-SUM(P299:Y299),2)</f>
        <v>0</v>
      </c>
      <c r="E300" s="55" t="n">
        <f aca="false">SUM(P300:Y300)</f>
        <v>0</v>
      </c>
      <c r="F300" s="42" t="n">
        <f aca="false">AJ300+MIN(Z300-AJ300,MAX(0,'Start Here'!$B$10-SUM($AJ300:$AS300)-SUMPRODUCT(($Z$3:$AI$3&lt;Z$3)*($Z300:$AI300-$AJ300:$AS300))))</f>
        <v>0</v>
      </c>
      <c r="G300" s="42" t="n">
        <f aca="false">AK300+MIN(AA300-AK300,MAX(0,'Start Here'!$B$10-SUM($AJ300:$AS300)-SUMPRODUCT(($Z$3:$AI$3&lt;AA$3)*($Z300:$AI300-$AJ300:$AS300))))</f>
        <v>0</v>
      </c>
      <c r="H300" s="42" t="n">
        <f aca="false">AL300+MIN(AB300-AL300,MAX(0,'Start Here'!$B$10-SUM($AJ300:$AS300)-SUMPRODUCT(($Z$3:$AI$3&lt;AB$3)*($Z300:$AI300-$AJ300:$AS300))))</f>
        <v>0</v>
      </c>
      <c r="I300" s="42" t="n">
        <f aca="false">AM300+MIN(AC300-AM300,MAX(0,'Start Here'!$B$10-SUM($AJ300:$AS300)-SUMPRODUCT(($Z$3:$AI$3&lt;AC$3)*($Z300:$AI300-$AJ300:$AS300))))</f>
        <v>0</v>
      </c>
      <c r="J300" s="42" t="n">
        <f aca="false">AN300+MIN(AD300-AN300,MAX(0,'Start Here'!$B$10-SUM($AJ300:$AS300)-SUMPRODUCT(($Z$3:$AI$3&lt;AD$3)*($Z300:$AI300-$AJ300:$AS300))))</f>
        <v>0</v>
      </c>
      <c r="K300" s="42" t="n">
        <f aca="false">AO300+MIN(AE300-AO300,MAX(0,'Start Here'!$B$10-SUM($AJ300:$AS300)-SUMPRODUCT(($Z$3:$AI$3&lt;AE$3)*($Z300:$AI300-$AJ300:$AS300))))</f>
        <v>0</v>
      </c>
      <c r="L300" s="42" t="n">
        <f aca="false">AP300+MIN(AF300-AP300,MAX(0,'Start Here'!$B$10-SUM($AJ300:$AS300)-SUMPRODUCT(($Z$3:$AI$3&lt;AF$3)*($Z300:$AI300-$AJ300:$AS300))))</f>
        <v>0</v>
      </c>
      <c r="M300" s="42" t="n">
        <f aca="false">AQ300+MIN(AG300-AQ300,MAX(0,'Start Here'!$B$10-SUM($AJ300:$AS300)-SUMPRODUCT(($Z$3:$AI$3&lt;AG$3)*($Z300:$AI300-$AJ300:$AS300))))</f>
        <v>0</v>
      </c>
      <c r="N300" s="42" t="n">
        <f aca="false">AR300+MIN(AH300-AR300,MAX(0,'Start Here'!$B$10-SUM($AJ300:$AS300)-SUMPRODUCT(($Z$3:$AI$3&lt;AH$3)*($Z300:$AI300-$AJ300:$AS300))))</f>
        <v>0</v>
      </c>
      <c r="O300" s="42" t="n">
        <f aca="false">AS300+MIN(AI300-AS300,MAX(0,'Start Here'!$B$10-SUM($AJ300:$AS300)-SUMPRODUCT(($Z$3:$AI$3&lt;AI$3)*($Z300:$AI300-$AJ300:$AS300))))</f>
        <v>0</v>
      </c>
      <c r="P300" s="42" t="n">
        <f aca="false">ROUND(Z300-F300,2)</f>
        <v>0</v>
      </c>
      <c r="Q300" s="42" t="n">
        <f aca="false">ROUND(AA300-G300,2)</f>
        <v>0</v>
      </c>
      <c r="R300" s="42" t="n">
        <f aca="false">ROUND(AB300-H300,2)</f>
        <v>0</v>
      </c>
      <c r="S300" s="42" t="n">
        <f aca="false">ROUND(AC300-I300,2)</f>
        <v>0</v>
      </c>
      <c r="T300" s="42" t="n">
        <f aca="false">ROUND(AD300-J300,2)</f>
        <v>0</v>
      </c>
      <c r="U300" s="42" t="n">
        <f aca="false">ROUND(AE300-K300,2)</f>
        <v>0</v>
      </c>
      <c r="V300" s="42" t="n">
        <f aca="false">ROUND(AF300-L300,2)</f>
        <v>0</v>
      </c>
      <c r="W300" s="42" t="n">
        <f aca="false">ROUND(AG300-M300,2)</f>
        <v>0</v>
      </c>
      <c r="X300" s="42" t="n">
        <f aca="false">ROUND(AH300-N300,2)</f>
        <v>0</v>
      </c>
      <c r="Y300" s="42" t="n">
        <f aca="false">ROUND(AI300-O300,2)</f>
        <v>0</v>
      </c>
      <c r="Z300" s="56" t="n">
        <f aca="false">ROUND(P299*(1+N(Debts!$D$5)/12),2)</f>
        <v>0</v>
      </c>
      <c r="AA300" s="56" t="n">
        <f aca="false">ROUND(Q299*(1+N(Debts!$D$6)/12),2)</f>
        <v>0</v>
      </c>
      <c r="AB300" s="56" t="n">
        <f aca="false">ROUND(R299*(1+N(Debts!$D$7)/12),2)</f>
        <v>0</v>
      </c>
      <c r="AC300" s="56" t="n">
        <f aca="false">ROUND(S299*(1+N(Debts!$D$8)/12),2)</f>
        <v>0</v>
      </c>
      <c r="AD300" s="56" t="n">
        <f aca="false">ROUND(T299*(1+N(Debts!$D$9)/12),2)</f>
        <v>0</v>
      </c>
      <c r="AE300" s="56" t="n">
        <f aca="false">ROUND(U299*(1+N(Debts!$D$10)/12),2)</f>
        <v>0</v>
      </c>
      <c r="AF300" s="56" t="n">
        <f aca="false">ROUND(V299*(1+N(Debts!$D$11)/12),2)</f>
        <v>0</v>
      </c>
      <c r="AG300" s="56" t="n">
        <f aca="false">ROUND(W299*(1+N(Debts!$D$12)/12),2)</f>
        <v>0</v>
      </c>
      <c r="AH300" s="56" t="n">
        <f aca="false">ROUND(X299*(1+N(Debts!$D$13)/12),2)</f>
        <v>0</v>
      </c>
      <c r="AI300" s="56" t="n">
        <f aca="false">ROUND(Y299*(1+N(Debts!$D$14)/12),2)</f>
        <v>0</v>
      </c>
      <c r="AJ300" s="56" t="n">
        <f aca="false">MIN(Z300,MAX(0,N(Debts!$E$5)))</f>
        <v>0</v>
      </c>
      <c r="AK300" s="56" t="n">
        <f aca="false">MIN(AA300,MAX(0,N(Debts!$E$6)))</f>
        <v>0</v>
      </c>
      <c r="AL300" s="56" t="n">
        <f aca="false">MIN(AB300,MAX(0,N(Debts!$E$7)))</f>
        <v>0</v>
      </c>
      <c r="AM300" s="56" t="n">
        <f aca="false">MIN(AC300,MAX(0,N(Debts!$E$8)))</f>
        <v>0</v>
      </c>
      <c r="AN300" s="56" t="n">
        <f aca="false">MIN(AD300,MAX(0,N(Debts!$E$9)))</f>
        <v>0</v>
      </c>
      <c r="AO300" s="56" t="n">
        <f aca="false">MIN(AE300,MAX(0,N(Debts!$E$10)))</f>
        <v>0</v>
      </c>
      <c r="AP300" s="56" t="n">
        <f aca="false">MIN(AF300,MAX(0,N(Debts!$E$11)))</f>
        <v>0</v>
      </c>
      <c r="AQ300" s="56" t="n">
        <f aca="false">MIN(AG300,MAX(0,N(Debts!$E$12)))</f>
        <v>0</v>
      </c>
      <c r="AR300" s="56" t="n">
        <f aca="false">MIN(AH300,MAX(0,N(Debts!$E$13)))</f>
        <v>0</v>
      </c>
      <c r="AS300" s="56" t="n">
        <f aca="false">MIN(AI300,MAX(0,N(Debts!$E$14)))</f>
        <v>0</v>
      </c>
    </row>
    <row r="301" customFormat="false" ht="15" hidden="false" customHeight="false" outlineLevel="0" collapsed="false">
      <c r="A301" s="53" t="n">
        <v>297</v>
      </c>
      <c r="B301" s="54" t="n">
        <f aca="false">EDATE('Start Here'!$B$8,296)</f>
        <v>55335</v>
      </c>
      <c r="C301" s="42" t="n">
        <f aca="false">SUM(F301:O301)</f>
        <v>0</v>
      </c>
      <c r="D301" s="42" t="n">
        <f aca="false">ROUND(SUM($Z301:$AI301)-SUM(P300:Y300),2)</f>
        <v>0</v>
      </c>
      <c r="E301" s="55" t="n">
        <f aca="false">SUM(P301:Y301)</f>
        <v>0</v>
      </c>
      <c r="F301" s="42" t="n">
        <f aca="false">AJ301+MIN(Z301-AJ301,MAX(0,'Start Here'!$B$10-SUM($AJ301:$AS301)-SUMPRODUCT(($Z$3:$AI$3&lt;Z$3)*($Z301:$AI301-$AJ301:$AS301))))</f>
        <v>0</v>
      </c>
      <c r="G301" s="42" t="n">
        <f aca="false">AK301+MIN(AA301-AK301,MAX(0,'Start Here'!$B$10-SUM($AJ301:$AS301)-SUMPRODUCT(($Z$3:$AI$3&lt;AA$3)*($Z301:$AI301-$AJ301:$AS301))))</f>
        <v>0</v>
      </c>
      <c r="H301" s="42" t="n">
        <f aca="false">AL301+MIN(AB301-AL301,MAX(0,'Start Here'!$B$10-SUM($AJ301:$AS301)-SUMPRODUCT(($Z$3:$AI$3&lt;AB$3)*($Z301:$AI301-$AJ301:$AS301))))</f>
        <v>0</v>
      </c>
      <c r="I301" s="42" t="n">
        <f aca="false">AM301+MIN(AC301-AM301,MAX(0,'Start Here'!$B$10-SUM($AJ301:$AS301)-SUMPRODUCT(($Z$3:$AI$3&lt;AC$3)*($Z301:$AI301-$AJ301:$AS301))))</f>
        <v>0</v>
      </c>
      <c r="J301" s="42" t="n">
        <f aca="false">AN301+MIN(AD301-AN301,MAX(0,'Start Here'!$B$10-SUM($AJ301:$AS301)-SUMPRODUCT(($Z$3:$AI$3&lt;AD$3)*($Z301:$AI301-$AJ301:$AS301))))</f>
        <v>0</v>
      </c>
      <c r="K301" s="42" t="n">
        <f aca="false">AO301+MIN(AE301-AO301,MAX(0,'Start Here'!$B$10-SUM($AJ301:$AS301)-SUMPRODUCT(($Z$3:$AI$3&lt;AE$3)*($Z301:$AI301-$AJ301:$AS301))))</f>
        <v>0</v>
      </c>
      <c r="L301" s="42" t="n">
        <f aca="false">AP301+MIN(AF301-AP301,MAX(0,'Start Here'!$B$10-SUM($AJ301:$AS301)-SUMPRODUCT(($Z$3:$AI$3&lt;AF$3)*($Z301:$AI301-$AJ301:$AS301))))</f>
        <v>0</v>
      </c>
      <c r="M301" s="42" t="n">
        <f aca="false">AQ301+MIN(AG301-AQ301,MAX(0,'Start Here'!$B$10-SUM($AJ301:$AS301)-SUMPRODUCT(($Z$3:$AI$3&lt;AG$3)*($Z301:$AI301-$AJ301:$AS301))))</f>
        <v>0</v>
      </c>
      <c r="N301" s="42" t="n">
        <f aca="false">AR301+MIN(AH301-AR301,MAX(0,'Start Here'!$B$10-SUM($AJ301:$AS301)-SUMPRODUCT(($Z$3:$AI$3&lt;AH$3)*($Z301:$AI301-$AJ301:$AS301))))</f>
        <v>0</v>
      </c>
      <c r="O301" s="42" t="n">
        <f aca="false">AS301+MIN(AI301-AS301,MAX(0,'Start Here'!$B$10-SUM($AJ301:$AS301)-SUMPRODUCT(($Z$3:$AI$3&lt;AI$3)*($Z301:$AI301-$AJ301:$AS301))))</f>
        <v>0</v>
      </c>
      <c r="P301" s="42" t="n">
        <f aca="false">ROUND(Z301-F301,2)</f>
        <v>0</v>
      </c>
      <c r="Q301" s="42" t="n">
        <f aca="false">ROUND(AA301-G301,2)</f>
        <v>0</v>
      </c>
      <c r="R301" s="42" t="n">
        <f aca="false">ROUND(AB301-H301,2)</f>
        <v>0</v>
      </c>
      <c r="S301" s="42" t="n">
        <f aca="false">ROUND(AC301-I301,2)</f>
        <v>0</v>
      </c>
      <c r="T301" s="42" t="n">
        <f aca="false">ROUND(AD301-J301,2)</f>
        <v>0</v>
      </c>
      <c r="U301" s="42" t="n">
        <f aca="false">ROUND(AE301-K301,2)</f>
        <v>0</v>
      </c>
      <c r="V301" s="42" t="n">
        <f aca="false">ROUND(AF301-L301,2)</f>
        <v>0</v>
      </c>
      <c r="W301" s="42" t="n">
        <f aca="false">ROUND(AG301-M301,2)</f>
        <v>0</v>
      </c>
      <c r="X301" s="42" t="n">
        <f aca="false">ROUND(AH301-N301,2)</f>
        <v>0</v>
      </c>
      <c r="Y301" s="42" t="n">
        <f aca="false">ROUND(AI301-O301,2)</f>
        <v>0</v>
      </c>
      <c r="Z301" s="56" t="n">
        <f aca="false">ROUND(P300*(1+N(Debts!$D$5)/12),2)</f>
        <v>0</v>
      </c>
      <c r="AA301" s="56" t="n">
        <f aca="false">ROUND(Q300*(1+N(Debts!$D$6)/12),2)</f>
        <v>0</v>
      </c>
      <c r="AB301" s="56" t="n">
        <f aca="false">ROUND(R300*(1+N(Debts!$D$7)/12),2)</f>
        <v>0</v>
      </c>
      <c r="AC301" s="56" t="n">
        <f aca="false">ROUND(S300*(1+N(Debts!$D$8)/12),2)</f>
        <v>0</v>
      </c>
      <c r="AD301" s="56" t="n">
        <f aca="false">ROUND(T300*(1+N(Debts!$D$9)/12),2)</f>
        <v>0</v>
      </c>
      <c r="AE301" s="56" t="n">
        <f aca="false">ROUND(U300*(1+N(Debts!$D$10)/12),2)</f>
        <v>0</v>
      </c>
      <c r="AF301" s="56" t="n">
        <f aca="false">ROUND(V300*(1+N(Debts!$D$11)/12),2)</f>
        <v>0</v>
      </c>
      <c r="AG301" s="56" t="n">
        <f aca="false">ROUND(W300*(1+N(Debts!$D$12)/12),2)</f>
        <v>0</v>
      </c>
      <c r="AH301" s="56" t="n">
        <f aca="false">ROUND(X300*(1+N(Debts!$D$13)/12),2)</f>
        <v>0</v>
      </c>
      <c r="AI301" s="56" t="n">
        <f aca="false">ROUND(Y300*(1+N(Debts!$D$14)/12),2)</f>
        <v>0</v>
      </c>
      <c r="AJ301" s="56" t="n">
        <f aca="false">MIN(Z301,MAX(0,N(Debts!$E$5)))</f>
        <v>0</v>
      </c>
      <c r="AK301" s="56" t="n">
        <f aca="false">MIN(AA301,MAX(0,N(Debts!$E$6)))</f>
        <v>0</v>
      </c>
      <c r="AL301" s="56" t="n">
        <f aca="false">MIN(AB301,MAX(0,N(Debts!$E$7)))</f>
        <v>0</v>
      </c>
      <c r="AM301" s="56" t="n">
        <f aca="false">MIN(AC301,MAX(0,N(Debts!$E$8)))</f>
        <v>0</v>
      </c>
      <c r="AN301" s="56" t="n">
        <f aca="false">MIN(AD301,MAX(0,N(Debts!$E$9)))</f>
        <v>0</v>
      </c>
      <c r="AO301" s="56" t="n">
        <f aca="false">MIN(AE301,MAX(0,N(Debts!$E$10)))</f>
        <v>0</v>
      </c>
      <c r="AP301" s="56" t="n">
        <f aca="false">MIN(AF301,MAX(0,N(Debts!$E$11)))</f>
        <v>0</v>
      </c>
      <c r="AQ301" s="56" t="n">
        <f aca="false">MIN(AG301,MAX(0,N(Debts!$E$12)))</f>
        <v>0</v>
      </c>
      <c r="AR301" s="56" t="n">
        <f aca="false">MIN(AH301,MAX(0,N(Debts!$E$13)))</f>
        <v>0</v>
      </c>
      <c r="AS301" s="56" t="n">
        <f aca="false">MIN(AI301,MAX(0,N(Debts!$E$14)))</f>
        <v>0</v>
      </c>
    </row>
    <row r="302" customFormat="false" ht="15" hidden="false" customHeight="false" outlineLevel="0" collapsed="false">
      <c r="A302" s="53" t="n">
        <v>298</v>
      </c>
      <c r="B302" s="54" t="n">
        <f aca="false">EDATE('Start Here'!$B$8,297)</f>
        <v>55366</v>
      </c>
      <c r="C302" s="42" t="n">
        <f aca="false">SUM(F302:O302)</f>
        <v>0</v>
      </c>
      <c r="D302" s="42" t="n">
        <f aca="false">ROUND(SUM($Z302:$AI302)-SUM(P301:Y301),2)</f>
        <v>0</v>
      </c>
      <c r="E302" s="55" t="n">
        <f aca="false">SUM(P302:Y302)</f>
        <v>0</v>
      </c>
      <c r="F302" s="42" t="n">
        <f aca="false">AJ302+MIN(Z302-AJ302,MAX(0,'Start Here'!$B$10-SUM($AJ302:$AS302)-SUMPRODUCT(($Z$3:$AI$3&lt;Z$3)*($Z302:$AI302-$AJ302:$AS302))))</f>
        <v>0</v>
      </c>
      <c r="G302" s="42" t="n">
        <f aca="false">AK302+MIN(AA302-AK302,MAX(0,'Start Here'!$B$10-SUM($AJ302:$AS302)-SUMPRODUCT(($Z$3:$AI$3&lt;AA$3)*($Z302:$AI302-$AJ302:$AS302))))</f>
        <v>0</v>
      </c>
      <c r="H302" s="42" t="n">
        <f aca="false">AL302+MIN(AB302-AL302,MAX(0,'Start Here'!$B$10-SUM($AJ302:$AS302)-SUMPRODUCT(($Z$3:$AI$3&lt;AB$3)*($Z302:$AI302-$AJ302:$AS302))))</f>
        <v>0</v>
      </c>
      <c r="I302" s="42" t="n">
        <f aca="false">AM302+MIN(AC302-AM302,MAX(0,'Start Here'!$B$10-SUM($AJ302:$AS302)-SUMPRODUCT(($Z$3:$AI$3&lt;AC$3)*($Z302:$AI302-$AJ302:$AS302))))</f>
        <v>0</v>
      </c>
      <c r="J302" s="42" t="n">
        <f aca="false">AN302+MIN(AD302-AN302,MAX(0,'Start Here'!$B$10-SUM($AJ302:$AS302)-SUMPRODUCT(($Z$3:$AI$3&lt;AD$3)*($Z302:$AI302-$AJ302:$AS302))))</f>
        <v>0</v>
      </c>
      <c r="K302" s="42" t="n">
        <f aca="false">AO302+MIN(AE302-AO302,MAX(0,'Start Here'!$B$10-SUM($AJ302:$AS302)-SUMPRODUCT(($Z$3:$AI$3&lt;AE$3)*($Z302:$AI302-$AJ302:$AS302))))</f>
        <v>0</v>
      </c>
      <c r="L302" s="42" t="n">
        <f aca="false">AP302+MIN(AF302-AP302,MAX(0,'Start Here'!$B$10-SUM($AJ302:$AS302)-SUMPRODUCT(($Z$3:$AI$3&lt;AF$3)*($Z302:$AI302-$AJ302:$AS302))))</f>
        <v>0</v>
      </c>
      <c r="M302" s="42" t="n">
        <f aca="false">AQ302+MIN(AG302-AQ302,MAX(0,'Start Here'!$B$10-SUM($AJ302:$AS302)-SUMPRODUCT(($Z$3:$AI$3&lt;AG$3)*($Z302:$AI302-$AJ302:$AS302))))</f>
        <v>0</v>
      </c>
      <c r="N302" s="42" t="n">
        <f aca="false">AR302+MIN(AH302-AR302,MAX(0,'Start Here'!$B$10-SUM($AJ302:$AS302)-SUMPRODUCT(($Z$3:$AI$3&lt;AH$3)*($Z302:$AI302-$AJ302:$AS302))))</f>
        <v>0</v>
      </c>
      <c r="O302" s="42" t="n">
        <f aca="false">AS302+MIN(AI302-AS302,MAX(0,'Start Here'!$B$10-SUM($AJ302:$AS302)-SUMPRODUCT(($Z$3:$AI$3&lt;AI$3)*($Z302:$AI302-$AJ302:$AS302))))</f>
        <v>0</v>
      </c>
      <c r="P302" s="42" t="n">
        <f aca="false">ROUND(Z302-F302,2)</f>
        <v>0</v>
      </c>
      <c r="Q302" s="42" t="n">
        <f aca="false">ROUND(AA302-G302,2)</f>
        <v>0</v>
      </c>
      <c r="R302" s="42" t="n">
        <f aca="false">ROUND(AB302-H302,2)</f>
        <v>0</v>
      </c>
      <c r="S302" s="42" t="n">
        <f aca="false">ROUND(AC302-I302,2)</f>
        <v>0</v>
      </c>
      <c r="T302" s="42" t="n">
        <f aca="false">ROUND(AD302-J302,2)</f>
        <v>0</v>
      </c>
      <c r="U302" s="42" t="n">
        <f aca="false">ROUND(AE302-K302,2)</f>
        <v>0</v>
      </c>
      <c r="V302" s="42" t="n">
        <f aca="false">ROUND(AF302-L302,2)</f>
        <v>0</v>
      </c>
      <c r="W302" s="42" t="n">
        <f aca="false">ROUND(AG302-M302,2)</f>
        <v>0</v>
      </c>
      <c r="X302" s="42" t="n">
        <f aca="false">ROUND(AH302-N302,2)</f>
        <v>0</v>
      </c>
      <c r="Y302" s="42" t="n">
        <f aca="false">ROUND(AI302-O302,2)</f>
        <v>0</v>
      </c>
      <c r="Z302" s="56" t="n">
        <f aca="false">ROUND(P301*(1+N(Debts!$D$5)/12),2)</f>
        <v>0</v>
      </c>
      <c r="AA302" s="56" t="n">
        <f aca="false">ROUND(Q301*(1+N(Debts!$D$6)/12),2)</f>
        <v>0</v>
      </c>
      <c r="AB302" s="56" t="n">
        <f aca="false">ROUND(R301*(1+N(Debts!$D$7)/12),2)</f>
        <v>0</v>
      </c>
      <c r="AC302" s="56" t="n">
        <f aca="false">ROUND(S301*(1+N(Debts!$D$8)/12),2)</f>
        <v>0</v>
      </c>
      <c r="AD302" s="56" t="n">
        <f aca="false">ROUND(T301*(1+N(Debts!$D$9)/12),2)</f>
        <v>0</v>
      </c>
      <c r="AE302" s="56" t="n">
        <f aca="false">ROUND(U301*(1+N(Debts!$D$10)/12),2)</f>
        <v>0</v>
      </c>
      <c r="AF302" s="56" t="n">
        <f aca="false">ROUND(V301*(1+N(Debts!$D$11)/12),2)</f>
        <v>0</v>
      </c>
      <c r="AG302" s="56" t="n">
        <f aca="false">ROUND(W301*(1+N(Debts!$D$12)/12),2)</f>
        <v>0</v>
      </c>
      <c r="AH302" s="56" t="n">
        <f aca="false">ROUND(X301*(1+N(Debts!$D$13)/12),2)</f>
        <v>0</v>
      </c>
      <c r="AI302" s="56" t="n">
        <f aca="false">ROUND(Y301*(1+N(Debts!$D$14)/12),2)</f>
        <v>0</v>
      </c>
      <c r="AJ302" s="56" t="n">
        <f aca="false">MIN(Z302,MAX(0,N(Debts!$E$5)))</f>
        <v>0</v>
      </c>
      <c r="AK302" s="56" t="n">
        <f aca="false">MIN(AA302,MAX(0,N(Debts!$E$6)))</f>
        <v>0</v>
      </c>
      <c r="AL302" s="56" t="n">
        <f aca="false">MIN(AB302,MAX(0,N(Debts!$E$7)))</f>
        <v>0</v>
      </c>
      <c r="AM302" s="56" t="n">
        <f aca="false">MIN(AC302,MAX(0,N(Debts!$E$8)))</f>
        <v>0</v>
      </c>
      <c r="AN302" s="56" t="n">
        <f aca="false">MIN(AD302,MAX(0,N(Debts!$E$9)))</f>
        <v>0</v>
      </c>
      <c r="AO302" s="56" t="n">
        <f aca="false">MIN(AE302,MAX(0,N(Debts!$E$10)))</f>
        <v>0</v>
      </c>
      <c r="AP302" s="56" t="n">
        <f aca="false">MIN(AF302,MAX(0,N(Debts!$E$11)))</f>
        <v>0</v>
      </c>
      <c r="AQ302" s="56" t="n">
        <f aca="false">MIN(AG302,MAX(0,N(Debts!$E$12)))</f>
        <v>0</v>
      </c>
      <c r="AR302" s="56" t="n">
        <f aca="false">MIN(AH302,MAX(0,N(Debts!$E$13)))</f>
        <v>0</v>
      </c>
      <c r="AS302" s="56" t="n">
        <f aca="false">MIN(AI302,MAX(0,N(Debts!$E$14)))</f>
        <v>0</v>
      </c>
    </row>
    <row r="303" customFormat="false" ht="15" hidden="false" customHeight="false" outlineLevel="0" collapsed="false">
      <c r="A303" s="53" t="n">
        <v>299</v>
      </c>
      <c r="B303" s="54" t="n">
        <f aca="false">EDATE('Start Here'!$B$8,298)</f>
        <v>55397</v>
      </c>
      <c r="C303" s="42" t="n">
        <f aca="false">SUM(F303:O303)</f>
        <v>0</v>
      </c>
      <c r="D303" s="42" t="n">
        <f aca="false">ROUND(SUM($Z303:$AI303)-SUM(P302:Y302),2)</f>
        <v>0</v>
      </c>
      <c r="E303" s="55" t="n">
        <f aca="false">SUM(P303:Y303)</f>
        <v>0</v>
      </c>
      <c r="F303" s="42" t="n">
        <f aca="false">AJ303+MIN(Z303-AJ303,MAX(0,'Start Here'!$B$10-SUM($AJ303:$AS303)-SUMPRODUCT(($Z$3:$AI$3&lt;Z$3)*($Z303:$AI303-$AJ303:$AS303))))</f>
        <v>0</v>
      </c>
      <c r="G303" s="42" t="n">
        <f aca="false">AK303+MIN(AA303-AK303,MAX(0,'Start Here'!$B$10-SUM($AJ303:$AS303)-SUMPRODUCT(($Z$3:$AI$3&lt;AA$3)*($Z303:$AI303-$AJ303:$AS303))))</f>
        <v>0</v>
      </c>
      <c r="H303" s="42" t="n">
        <f aca="false">AL303+MIN(AB303-AL303,MAX(0,'Start Here'!$B$10-SUM($AJ303:$AS303)-SUMPRODUCT(($Z$3:$AI$3&lt;AB$3)*($Z303:$AI303-$AJ303:$AS303))))</f>
        <v>0</v>
      </c>
      <c r="I303" s="42" t="n">
        <f aca="false">AM303+MIN(AC303-AM303,MAX(0,'Start Here'!$B$10-SUM($AJ303:$AS303)-SUMPRODUCT(($Z$3:$AI$3&lt;AC$3)*($Z303:$AI303-$AJ303:$AS303))))</f>
        <v>0</v>
      </c>
      <c r="J303" s="42" t="n">
        <f aca="false">AN303+MIN(AD303-AN303,MAX(0,'Start Here'!$B$10-SUM($AJ303:$AS303)-SUMPRODUCT(($Z$3:$AI$3&lt;AD$3)*($Z303:$AI303-$AJ303:$AS303))))</f>
        <v>0</v>
      </c>
      <c r="K303" s="42" t="n">
        <f aca="false">AO303+MIN(AE303-AO303,MAX(0,'Start Here'!$B$10-SUM($AJ303:$AS303)-SUMPRODUCT(($Z$3:$AI$3&lt;AE$3)*($Z303:$AI303-$AJ303:$AS303))))</f>
        <v>0</v>
      </c>
      <c r="L303" s="42" t="n">
        <f aca="false">AP303+MIN(AF303-AP303,MAX(0,'Start Here'!$B$10-SUM($AJ303:$AS303)-SUMPRODUCT(($Z$3:$AI$3&lt;AF$3)*($Z303:$AI303-$AJ303:$AS303))))</f>
        <v>0</v>
      </c>
      <c r="M303" s="42" t="n">
        <f aca="false">AQ303+MIN(AG303-AQ303,MAX(0,'Start Here'!$B$10-SUM($AJ303:$AS303)-SUMPRODUCT(($Z$3:$AI$3&lt;AG$3)*($Z303:$AI303-$AJ303:$AS303))))</f>
        <v>0</v>
      </c>
      <c r="N303" s="42" t="n">
        <f aca="false">AR303+MIN(AH303-AR303,MAX(0,'Start Here'!$B$10-SUM($AJ303:$AS303)-SUMPRODUCT(($Z$3:$AI$3&lt;AH$3)*($Z303:$AI303-$AJ303:$AS303))))</f>
        <v>0</v>
      </c>
      <c r="O303" s="42" t="n">
        <f aca="false">AS303+MIN(AI303-AS303,MAX(0,'Start Here'!$B$10-SUM($AJ303:$AS303)-SUMPRODUCT(($Z$3:$AI$3&lt;AI$3)*($Z303:$AI303-$AJ303:$AS303))))</f>
        <v>0</v>
      </c>
      <c r="P303" s="42" t="n">
        <f aca="false">ROUND(Z303-F303,2)</f>
        <v>0</v>
      </c>
      <c r="Q303" s="42" t="n">
        <f aca="false">ROUND(AA303-G303,2)</f>
        <v>0</v>
      </c>
      <c r="R303" s="42" t="n">
        <f aca="false">ROUND(AB303-H303,2)</f>
        <v>0</v>
      </c>
      <c r="S303" s="42" t="n">
        <f aca="false">ROUND(AC303-I303,2)</f>
        <v>0</v>
      </c>
      <c r="T303" s="42" t="n">
        <f aca="false">ROUND(AD303-J303,2)</f>
        <v>0</v>
      </c>
      <c r="U303" s="42" t="n">
        <f aca="false">ROUND(AE303-K303,2)</f>
        <v>0</v>
      </c>
      <c r="V303" s="42" t="n">
        <f aca="false">ROUND(AF303-L303,2)</f>
        <v>0</v>
      </c>
      <c r="W303" s="42" t="n">
        <f aca="false">ROUND(AG303-M303,2)</f>
        <v>0</v>
      </c>
      <c r="X303" s="42" t="n">
        <f aca="false">ROUND(AH303-N303,2)</f>
        <v>0</v>
      </c>
      <c r="Y303" s="42" t="n">
        <f aca="false">ROUND(AI303-O303,2)</f>
        <v>0</v>
      </c>
      <c r="Z303" s="56" t="n">
        <f aca="false">ROUND(P302*(1+N(Debts!$D$5)/12),2)</f>
        <v>0</v>
      </c>
      <c r="AA303" s="56" t="n">
        <f aca="false">ROUND(Q302*(1+N(Debts!$D$6)/12),2)</f>
        <v>0</v>
      </c>
      <c r="AB303" s="56" t="n">
        <f aca="false">ROUND(R302*(1+N(Debts!$D$7)/12),2)</f>
        <v>0</v>
      </c>
      <c r="AC303" s="56" t="n">
        <f aca="false">ROUND(S302*(1+N(Debts!$D$8)/12),2)</f>
        <v>0</v>
      </c>
      <c r="AD303" s="56" t="n">
        <f aca="false">ROUND(T302*(1+N(Debts!$D$9)/12),2)</f>
        <v>0</v>
      </c>
      <c r="AE303" s="56" t="n">
        <f aca="false">ROUND(U302*(1+N(Debts!$D$10)/12),2)</f>
        <v>0</v>
      </c>
      <c r="AF303" s="56" t="n">
        <f aca="false">ROUND(V302*(1+N(Debts!$D$11)/12),2)</f>
        <v>0</v>
      </c>
      <c r="AG303" s="56" t="n">
        <f aca="false">ROUND(W302*(1+N(Debts!$D$12)/12),2)</f>
        <v>0</v>
      </c>
      <c r="AH303" s="56" t="n">
        <f aca="false">ROUND(X302*(1+N(Debts!$D$13)/12),2)</f>
        <v>0</v>
      </c>
      <c r="AI303" s="56" t="n">
        <f aca="false">ROUND(Y302*(1+N(Debts!$D$14)/12),2)</f>
        <v>0</v>
      </c>
      <c r="AJ303" s="56" t="n">
        <f aca="false">MIN(Z303,MAX(0,N(Debts!$E$5)))</f>
        <v>0</v>
      </c>
      <c r="AK303" s="56" t="n">
        <f aca="false">MIN(AA303,MAX(0,N(Debts!$E$6)))</f>
        <v>0</v>
      </c>
      <c r="AL303" s="56" t="n">
        <f aca="false">MIN(AB303,MAX(0,N(Debts!$E$7)))</f>
        <v>0</v>
      </c>
      <c r="AM303" s="56" t="n">
        <f aca="false">MIN(AC303,MAX(0,N(Debts!$E$8)))</f>
        <v>0</v>
      </c>
      <c r="AN303" s="56" t="n">
        <f aca="false">MIN(AD303,MAX(0,N(Debts!$E$9)))</f>
        <v>0</v>
      </c>
      <c r="AO303" s="56" t="n">
        <f aca="false">MIN(AE303,MAX(0,N(Debts!$E$10)))</f>
        <v>0</v>
      </c>
      <c r="AP303" s="56" t="n">
        <f aca="false">MIN(AF303,MAX(0,N(Debts!$E$11)))</f>
        <v>0</v>
      </c>
      <c r="AQ303" s="56" t="n">
        <f aca="false">MIN(AG303,MAX(0,N(Debts!$E$12)))</f>
        <v>0</v>
      </c>
      <c r="AR303" s="56" t="n">
        <f aca="false">MIN(AH303,MAX(0,N(Debts!$E$13)))</f>
        <v>0</v>
      </c>
      <c r="AS303" s="56" t="n">
        <f aca="false">MIN(AI303,MAX(0,N(Debts!$E$14)))</f>
        <v>0</v>
      </c>
    </row>
    <row r="304" customFormat="false" ht="15" hidden="false" customHeight="false" outlineLevel="0" collapsed="false">
      <c r="A304" s="53" t="n">
        <v>300</v>
      </c>
      <c r="B304" s="54" t="n">
        <f aca="false">EDATE('Start Here'!$B$8,299)</f>
        <v>55427</v>
      </c>
      <c r="C304" s="42" t="n">
        <f aca="false">SUM(F304:O304)</f>
        <v>0</v>
      </c>
      <c r="D304" s="42" t="n">
        <f aca="false">ROUND(SUM($Z304:$AI304)-SUM(P303:Y303),2)</f>
        <v>0</v>
      </c>
      <c r="E304" s="55" t="n">
        <f aca="false">SUM(P304:Y304)</f>
        <v>0</v>
      </c>
      <c r="F304" s="42" t="n">
        <f aca="false">AJ304+MIN(Z304-AJ304,MAX(0,'Start Here'!$B$10-SUM($AJ304:$AS304)-SUMPRODUCT(($Z$3:$AI$3&lt;Z$3)*($Z304:$AI304-$AJ304:$AS304))))</f>
        <v>0</v>
      </c>
      <c r="G304" s="42" t="n">
        <f aca="false">AK304+MIN(AA304-AK304,MAX(0,'Start Here'!$B$10-SUM($AJ304:$AS304)-SUMPRODUCT(($Z$3:$AI$3&lt;AA$3)*($Z304:$AI304-$AJ304:$AS304))))</f>
        <v>0</v>
      </c>
      <c r="H304" s="42" t="n">
        <f aca="false">AL304+MIN(AB304-AL304,MAX(0,'Start Here'!$B$10-SUM($AJ304:$AS304)-SUMPRODUCT(($Z$3:$AI$3&lt;AB$3)*($Z304:$AI304-$AJ304:$AS304))))</f>
        <v>0</v>
      </c>
      <c r="I304" s="42" t="n">
        <f aca="false">AM304+MIN(AC304-AM304,MAX(0,'Start Here'!$B$10-SUM($AJ304:$AS304)-SUMPRODUCT(($Z$3:$AI$3&lt;AC$3)*($Z304:$AI304-$AJ304:$AS304))))</f>
        <v>0</v>
      </c>
      <c r="J304" s="42" t="n">
        <f aca="false">AN304+MIN(AD304-AN304,MAX(0,'Start Here'!$B$10-SUM($AJ304:$AS304)-SUMPRODUCT(($Z$3:$AI$3&lt;AD$3)*($Z304:$AI304-$AJ304:$AS304))))</f>
        <v>0</v>
      </c>
      <c r="K304" s="42" t="n">
        <f aca="false">AO304+MIN(AE304-AO304,MAX(0,'Start Here'!$B$10-SUM($AJ304:$AS304)-SUMPRODUCT(($Z$3:$AI$3&lt;AE$3)*($Z304:$AI304-$AJ304:$AS304))))</f>
        <v>0</v>
      </c>
      <c r="L304" s="42" t="n">
        <f aca="false">AP304+MIN(AF304-AP304,MAX(0,'Start Here'!$B$10-SUM($AJ304:$AS304)-SUMPRODUCT(($Z$3:$AI$3&lt;AF$3)*($Z304:$AI304-$AJ304:$AS304))))</f>
        <v>0</v>
      </c>
      <c r="M304" s="42" t="n">
        <f aca="false">AQ304+MIN(AG304-AQ304,MAX(0,'Start Here'!$B$10-SUM($AJ304:$AS304)-SUMPRODUCT(($Z$3:$AI$3&lt;AG$3)*($Z304:$AI304-$AJ304:$AS304))))</f>
        <v>0</v>
      </c>
      <c r="N304" s="42" t="n">
        <f aca="false">AR304+MIN(AH304-AR304,MAX(0,'Start Here'!$B$10-SUM($AJ304:$AS304)-SUMPRODUCT(($Z$3:$AI$3&lt;AH$3)*($Z304:$AI304-$AJ304:$AS304))))</f>
        <v>0</v>
      </c>
      <c r="O304" s="42" t="n">
        <f aca="false">AS304+MIN(AI304-AS304,MAX(0,'Start Here'!$B$10-SUM($AJ304:$AS304)-SUMPRODUCT(($Z$3:$AI$3&lt;AI$3)*($Z304:$AI304-$AJ304:$AS304))))</f>
        <v>0</v>
      </c>
      <c r="P304" s="42" t="n">
        <f aca="false">ROUND(Z304-F304,2)</f>
        <v>0</v>
      </c>
      <c r="Q304" s="42" t="n">
        <f aca="false">ROUND(AA304-G304,2)</f>
        <v>0</v>
      </c>
      <c r="R304" s="42" t="n">
        <f aca="false">ROUND(AB304-H304,2)</f>
        <v>0</v>
      </c>
      <c r="S304" s="42" t="n">
        <f aca="false">ROUND(AC304-I304,2)</f>
        <v>0</v>
      </c>
      <c r="T304" s="42" t="n">
        <f aca="false">ROUND(AD304-J304,2)</f>
        <v>0</v>
      </c>
      <c r="U304" s="42" t="n">
        <f aca="false">ROUND(AE304-K304,2)</f>
        <v>0</v>
      </c>
      <c r="V304" s="42" t="n">
        <f aca="false">ROUND(AF304-L304,2)</f>
        <v>0</v>
      </c>
      <c r="W304" s="42" t="n">
        <f aca="false">ROUND(AG304-M304,2)</f>
        <v>0</v>
      </c>
      <c r="X304" s="42" t="n">
        <f aca="false">ROUND(AH304-N304,2)</f>
        <v>0</v>
      </c>
      <c r="Y304" s="42" t="n">
        <f aca="false">ROUND(AI304-O304,2)</f>
        <v>0</v>
      </c>
      <c r="Z304" s="56" t="n">
        <f aca="false">ROUND(P303*(1+N(Debts!$D$5)/12),2)</f>
        <v>0</v>
      </c>
      <c r="AA304" s="56" t="n">
        <f aca="false">ROUND(Q303*(1+N(Debts!$D$6)/12),2)</f>
        <v>0</v>
      </c>
      <c r="AB304" s="56" t="n">
        <f aca="false">ROUND(R303*(1+N(Debts!$D$7)/12),2)</f>
        <v>0</v>
      </c>
      <c r="AC304" s="56" t="n">
        <f aca="false">ROUND(S303*(1+N(Debts!$D$8)/12),2)</f>
        <v>0</v>
      </c>
      <c r="AD304" s="56" t="n">
        <f aca="false">ROUND(T303*(1+N(Debts!$D$9)/12),2)</f>
        <v>0</v>
      </c>
      <c r="AE304" s="56" t="n">
        <f aca="false">ROUND(U303*(1+N(Debts!$D$10)/12),2)</f>
        <v>0</v>
      </c>
      <c r="AF304" s="56" t="n">
        <f aca="false">ROUND(V303*(1+N(Debts!$D$11)/12),2)</f>
        <v>0</v>
      </c>
      <c r="AG304" s="56" t="n">
        <f aca="false">ROUND(W303*(1+N(Debts!$D$12)/12),2)</f>
        <v>0</v>
      </c>
      <c r="AH304" s="56" t="n">
        <f aca="false">ROUND(X303*(1+N(Debts!$D$13)/12),2)</f>
        <v>0</v>
      </c>
      <c r="AI304" s="56" t="n">
        <f aca="false">ROUND(Y303*(1+N(Debts!$D$14)/12),2)</f>
        <v>0</v>
      </c>
      <c r="AJ304" s="56" t="n">
        <f aca="false">MIN(Z304,MAX(0,N(Debts!$E$5)))</f>
        <v>0</v>
      </c>
      <c r="AK304" s="56" t="n">
        <f aca="false">MIN(AA304,MAX(0,N(Debts!$E$6)))</f>
        <v>0</v>
      </c>
      <c r="AL304" s="56" t="n">
        <f aca="false">MIN(AB304,MAX(0,N(Debts!$E$7)))</f>
        <v>0</v>
      </c>
      <c r="AM304" s="56" t="n">
        <f aca="false">MIN(AC304,MAX(0,N(Debts!$E$8)))</f>
        <v>0</v>
      </c>
      <c r="AN304" s="56" t="n">
        <f aca="false">MIN(AD304,MAX(0,N(Debts!$E$9)))</f>
        <v>0</v>
      </c>
      <c r="AO304" s="56" t="n">
        <f aca="false">MIN(AE304,MAX(0,N(Debts!$E$10)))</f>
        <v>0</v>
      </c>
      <c r="AP304" s="56" t="n">
        <f aca="false">MIN(AF304,MAX(0,N(Debts!$E$11)))</f>
        <v>0</v>
      </c>
      <c r="AQ304" s="56" t="n">
        <f aca="false">MIN(AG304,MAX(0,N(Debts!$E$12)))</f>
        <v>0</v>
      </c>
      <c r="AR304" s="56" t="n">
        <f aca="false">MIN(AH304,MAX(0,N(Debts!$E$13)))</f>
        <v>0</v>
      </c>
      <c r="AS304" s="56" t="n">
        <f aca="false">MIN(AI304,MAX(0,N(Debts!$E$14)))</f>
        <v>0</v>
      </c>
    </row>
    <row r="305" customFormat="false" ht="15" hidden="false" customHeight="false" outlineLevel="0" collapsed="false">
      <c r="A305" s="53" t="n">
        <v>301</v>
      </c>
      <c r="B305" s="54" t="n">
        <f aca="false">EDATE('Start Here'!$B$8,300)</f>
        <v>55458</v>
      </c>
      <c r="C305" s="42" t="n">
        <f aca="false">SUM(F305:O305)</f>
        <v>0</v>
      </c>
      <c r="D305" s="42" t="n">
        <f aca="false">ROUND(SUM($Z305:$AI305)-SUM(P304:Y304),2)</f>
        <v>0</v>
      </c>
      <c r="E305" s="55" t="n">
        <f aca="false">SUM(P305:Y305)</f>
        <v>0</v>
      </c>
      <c r="F305" s="42" t="n">
        <f aca="false">AJ305+MIN(Z305-AJ305,MAX(0,'Start Here'!$B$10-SUM($AJ305:$AS305)-SUMPRODUCT(($Z$3:$AI$3&lt;Z$3)*($Z305:$AI305-$AJ305:$AS305))))</f>
        <v>0</v>
      </c>
      <c r="G305" s="42" t="n">
        <f aca="false">AK305+MIN(AA305-AK305,MAX(0,'Start Here'!$B$10-SUM($AJ305:$AS305)-SUMPRODUCT(($Z$3:$AI$3&lt;AA$3)*($Z305:$AI305-$AJ305:$AS305))))</f>
        <v>0</v>
      </c>
      <c r="H305" s="42" t="n">
        <f aca="false">AL305+MIN(AB305-AL305,MAX(0,'Start Here'!$B$10-SUM($AJ305:$AS305)-SUMPRODUCT(($Z$3:$AI$3&lt;AB$3)*($Z305:$AI305-$AJ305:$AS305))))</f>
        <v>0</v>
      </c>
      <c r="I305" s="42" t="n">
        <f aca="false">AM305+MIN(AC305-AM305,MAX(0,'Start Here'!$B$10-SUM($AJ305:$AS305)-SUMPRODUCT(($Z$3:$AI$3&lt;AC$3)*($Z305:$AI305-$AJ305:$AS305))))</f>
        <v>0</v>
      </c>
      <c r="J305" s="42" t="n">
        <f aca="false">AN305+MIN(AD305-AN305,MAX(0,'Start Here'!$B$10-SUM($AJ305:$AS305)-SUMPRODUCT(($Z$3:$AI$3&lt;AD$3)*($Z305:$AI305-$AJ305:$AS305))))</f>
        <v>0</v>
      </c>
      <c r="K305" s="42" t="n">
        <f aca="false">AO305+MIN(AE305-AO305,MAX(0,'Start Here'!$B$10-SUM($AJ305:$AS305)-SUMPRODUCT(($Z$3:$AI$3&lt;AE$3)*($Z305:$AI305-$AJ305:$AS305))))</f>
        <v>0</v>
      </c>
      <c r="L305" s="42" t="n">
        <f aca="false">AP305+MIN(AF305-AP305,MAX(0,'Start Here'!$B$10-SUM($AJ305:$AS305)-SUMPRODUCT(($Z$3:$AI$3&lt;AF$3)*($Z305:$AI305-$AJ305:$AS305))))</f>
        <v>0</v>
      </c>
      <c r="M305" s="42" t="n">
        <f aca="false">AQ305+MIN(AG305-AQ305,MAX(0,'Start Here'!$B$10-SUM($AJ305:$AS305)-SUMPRODUCT(($Z$3:$AI$3&lt;AG$3)*($Z305:$AI305-$AJ305:$AS305))))</f>
        <v>0</v>
      </c>
      <c r="N305" s="42" t="n">
        <f aca="false">AR305+MIN(AH305-AR305,MAX(0,'Start Here'!$B$10-SUM($AJ305:$AS305)-SUMPRODUCT(($Z$3:$AI$3&lt;AH$3)*($Z305:$AI305-$AJ305:$AS305))))</f>
        <v>0</v>
      </c>
      <c r="O305" s="42" t="n">
        <f aca="false">AS305+MIN(AI305-AS305,MAX(0,'Start Here'!$B$10-SUM($AJ305:$AS305)-SUMPRODUCT(($Z$3:$AI$3&lt;AI$3)*($Z305:$AI305-$AJ305:$AS305))))</f>
        <v>0</v>
      </c>
      <c r="P305" s="42" t="n">
        <f aca="false">ROUND(Z305-F305,2)</f>
        <v>0</v>
      </c>
      <c r="Q305" s="42" t="n">
        <f aca="false">ROUND(AA305-G305,2)</f>
        <v>0</v>
      </c>
      <c r="R305" s="42" t="n">
        <f aca="false">ROUND(AB305-H305,2)</f>
        <v>0</v>
      </c>
      <c r="S305" s="42" t="n">
        <f aca="false">ROUND(AC305-I305,2)</f>
        <v>0</v>
      </c>
      <c r="T305" s="42" t="n">
        <f aca="false">ROUND(AD305-J305,2)</f>
        <v>0</v>
      </c>
      <c r="U305" s="42" t="n">
        <f aca="false">ROUND(AE305-K305,2)</f>
        <v>0</v>
      </c>
      <c r="V305" s="42" t="n">
        <f aca="false">ROUND(AF305-L305,2)</f>
        <v>0</v>
      </c>
      <c r="W305" s="42" t="n">
        <f aca="false">ROUND(AG305-M305,2)</f>
        <v>0</v>
      </c>
      <c r="X305" s="42" t="n">
        <f aca="false">ROUND(AH305-N305,2)</f>
        <v>0</v>
      </c>
      <c r="Y305" s="42" t="n">
        <f aca="false">ROUND(AI305-O305,2)</f>
        <v>0</v>
      </c>
      <c r="Z305" s="56" t="n">
        <f aca="false">ROUND(P304*(1+N(Debts!$D$5)/12),2)</f>
        <v>0</v>
      </c>
      <c r="AA305" s="56" t="n">
        <f aca="false">ROUND(Q304*(1+N(Debts!$D$6)/12),2)</f>
        <v>0</v>
      </c>
      <c r="AB305" s="56" t="n">
        <f aca="false">ROUND(R304*(1+N(Debts!$D$7)/12),2)</f>
        <v>0</v>
      </c>
      <c r="AC305" s="56" t="n">
        <f aca="false">ROUND(S304*(1+N(Debts!$D$8)/12),2)</f>
        <v>0</v>
      </c>
      <c r="AD305" s="56" t="n">
        <f aca="false">ROUND(T304*(1+N(Debts!$D$9)/12),2)</f>
        <v>0</v>
      </c>
      <c r="AE305" s="56" t="n">
        <f aca="false">ROUND(U304*(1+N(Debts!$D$10)/12),2)</f>
        <v>0</v>
      </c>
      <c r="AF305" s="56" t="n">
        <f aca="false">ROUND(V304*(1+N(Debts!$D$11)/12),2)</f>
        <v>0</v>
      </c>
      <c r="AG305" s="56" t="n">
        <f aca="false">ROUND(W304*(1+N(Debts!$D$12)/12),2)</f>
        <v>0</v>
      </c>
      <c r="AH305" s="56" t="n">
        <f aca="false">ROUND(X304*(1+N(Debts!$D$13)/12),2)</f>
        <v>0</v>
      </c>
      <c r="AI305" s="56" t="n">
        <f aca="false">ROUND(Y304*(1+N(Debts!$D$14)/12),2)</f>
        <v>0</v>
      </c>
      <c r="AJ305" s="56" t="n">
        <f aca="false">MIN(Z305,MAX(0,N(Debts!$E$5)))</f>
        <v>0</v>
      </c>
      <c r="AK305" s="56" t="n">
        <f aca="false">MIN(AA305,MAX(0,N(Debts!$E$6)))</f>
        <v>0</v>
      </c>
      <c r="AL305" s="56" t="n">
        <f aca="false">MIN(AB305,MAX(0,N(Debts!$E$7)))</f>
        <v>0</v>
      </c>
      <c r="AM305" s="56" t="n">
        <f aca="false">MIN(AC305,MAX(0,N(Debts!$E$8)))</f>
        <v>0</v>
      </c>
      <c r="AN305" s="56" t="n">
        <f aca="false">MIN(AD305,MAX(0,N(Debts!$E$9)))</f>
        <v>0</v>
      </c>
      <c r="AO305" s="56" t="n">
        <f aca="false">MIN(AE305,MAX(0,N(Debts!$E$10)))</f>
        <v>0</v>
      </c>
      <c r="AP305" s="56" t="n">
        <f aca="false">MIN(AF305,MAX(0,N(Debts!$E$11)))</f>
        <v>0</v>
      </c>
      <c r="AQ305" s="56" t="n">
        <f aca="false">MIN(AG305,MAX(0,N(Debts!$E$12)))</f>
        <v>0</v>
      </c>
      <c r="AR305" s="56" t="n">
        <f aca="false">MIN(AH305,MAX(0,N(Debts!$E$13)))</f>
        <v>0</v>
      </c>
      <c r="AS305" s="56" t="n">
        <f aca="false">MIN(AI305,MAX(0,N(Debts!$E$14)))</f>
        <v>0</v>
      </c>
    </row>
    <row r="306" customFormat="false" ht="15" hidden="false" customHeight="false" outlineLevel="0" collapsed="false">
      <c r="A306" s="53" t="n">
        <v>302</v>
      </c>
      <c r="B306" s="54" t="n">
        <f aca="false">EDATE('Start Here'!$B$8,301)</f>
        <v>55488</v>
      </c>
      <c r="C306" s="42" t="n">
        <f aca="false">SUM(F306:O306)</f>
        <v>0</v>
      </c>
      <c r="D306" s="42" t="n">
        <f aca="false">ROUND(SUM($Z306:$AI306)-SUM(P305:Y305),2)</f>
        <v>0</v>
      </c>
      <c r="E306" s="55" t="n">
        <f aca="false">SUM(P306:Y306)</f>
        <v>0</v>
      </c>
      <c r="F306" s="42" t="n">
        <f aca="false">AJ306+MIN(Z306-AJ306,MAX(0,'Start Here'!$B$10-SUM($AJ306:$AS306)-SUMPRODUCT(($Z$3:$AI$3&lt;Z$3)*($Z306:$AI306-$AJ306:$AS306))))</f>
        <v>0</v>
      </c>
      <c r="G306" s="42" t="n">
        <f aca="false">AK306+MIN(AA306-AK306,MAX(0,'Start Here'!$B$10-SUM($AJ306:$AS306)-SUMPRODUCT(($Z$3:$AI$3&lt;AA$3)*($Z306:$AI306-$AJ306:$AS306))))</f>
        <v>0</v>
      </c>
      <c r="H306" s="42" t="n">
        <f aca="false">AL306+MIN(AB306-AL306,MAX(0,'Start Here'!$B$10-SUM($AJ306:$AS306)-SUMPRODUCT(($Z$3:$AI$3&lt;AB$3)*($Z306:$AI306-$AJ306:$AS306))))</f>
        <v>0</v>
      </c>
      <c r="I306" s="42" t="n">
        <f aca="false">AM306+MIN(AC306-AM306,MAX(0,'Start Here'!$B$10-SUM($AJ306:$AS306)-SUMPRODUCT(($Z$3:$AI$3&lt;AC$3)*($Z306:$AI306-$AJ306:$AS306))))</f>
        <v>0</v>
      </c>
      <c r="J306" s="42" t="n">
        <f aca="false">AN306+MIN(AD306-AN306,MAX(0,'Start Here'!$B$10-SUM($AJ306:$AS306)-SUMPRODUCT(($Z$3:$AI$3&lt;AD$3)*($Z306:$AI306-$AJ306:$AS306))))</f>
        <v>0</v>
      </c>
      <c r="K306" s="42" t="n">
        <f aca="false">AO306+MIN(AE306-AO306,MAX(0,'Start Here'!$B$10-SUM($AJ306:$AS306)-SUMPRODUCT(($Z$3:$AI$3&lt;AE$3)*($Z306:$AI306-$AJ306:$AS306))))</f>
        <v>0</v>
      </c>
      <c r="L306" s="42" t="n">
        <f aca="false">AP306+MIN(AF306-AP306,MAX(0,'Start Here'!$B$10-SUM($AJ306:$AS306)-SUMPRODUCT(($Z$3:$AI$3&lt;AF$3)*($Z306:$AI306-$AJ306:$AS306))))</f>
        <v>0</v>
      </c>
      <c r="M306" s="42" t="n">
        <f aca="false">AQ306+MIN(AG306-AQ306,MAX(0,'Start Here'!$B$10-SUM($AJ306:$AS306)-SUMPRODUCT(($Z$3:$AI$3&lt;AG$3)*($Z306:$AI306-$AJ306:$AS306))))</f>
        <v>0</v>
      </c>
      <c r="N306" s="42" t="n">
        <f aca="false">AR306+MIN(AH306-AR306,MAX(0,'Start Here'!$B$10-SUM($AJ306:$AS306)-SUMPRODUCT(($Z$3:$AI$3&lt;AH$3)*($Z306:$AI306-$AJ306:$AS306))))</f>
        <v>0</v>
      </c>
      <c r="O306" s="42" t="n">
        <f aca="false">AS306+MIN(AI306-AS306,MAX(0,'Start Here'!$B$10-SUM($AJ306:$AS306)-SUMPRODUCT(($Z$3:$AI$3&lt;AI$3)*($Z306:$AI306-$AJ306:$AS306))))</f>
        <v>0</v>
      </c>
      <c r="P306" s="42" t="n">
        <f aca="false">ROUND(Z306-F306,2)</f>
        <v>0</v>
      </c>
      <c r="Q306" s="42" t="n">
        <f aca="false">ROUND(AA306-G306,2)</f>
        <v>0</v>
      </c>
      <c r="R306" s="42" t="n">
        <f aca="false">ROUND(AB306-H306,2)</f>
        <v>0</v>
      </c>
      <c r="S306" s="42" t="n">
        <f aca="false">ROUND(AC306-I306,2)</f>
        <v>0</v>
      </c>
      <c r="T306" s="42" t="n">
        <f aca="false">ROUND(AD306-J306,2)</f>
        <v>0</v>
      </c>
      <c r="U306" s="42" t="n">
        <f aca="false">ROUND(AE306-K306,2)</f>
        <v>0</v>
      </c>
      <c r="V306" s="42" t="n">
        <f aca="false">ROUND(AF306-L306,2)</f>
        <v>0</v>
      </c>
      <c r="W306" s="42" t="n">
        <f aca="false">ROUND(AG306-M306,2)</f>
        <v>0</v>
      </c>
      <c r="X306" s="42" t="n">
        <f aca="false">ROUND(AH306-N306,2)</f>
        <v>0</v>
      </c>
      <c r="Y306" s="42" t="n">
        <f aca="false">ROUND(AI306-O306,2)</f>
        <v>0</v>
      </c>
      <c r="Z306" s="56" t="n">
        <f aca="false">ROUND(P305*(1+N(Debts!$D$5)/12),2)</f>
        <v>0</v>
      </c>
      <c r="AA306" s="56" t="n">
        <f aca="false">ROUND(Q305*(1+N(Debts!$D$6)/12),2)</f>
        <v>0</v>
      </c>
      <c r="AB306" s="56" t="n">
        <f aca="false">ROUND(R305*(1+N(Debts!$D$7)/12),2)</f>
        <v>0</v>
      </c>
      <c r="AC306" s="56" t="n">
        <f aca="false">ROUND(S305*(1+N(Debts!$D$8)/12),2)</f>
        <v>0</v>
      </c>
      <c r="AD306" s="56" t="n">
        <f aca="false">ROUND(T305*(1+N(Debts!$D$9)/12),2)</f>
        <v>0</v>
      </c>
      <c r="AE306" s="56" t="n">
        <f aca="false">ROUND(U305*(1+N(Debts!$D$10)/12),2)</f>
        <v>0</v>
      </c>
      <c r="AF306" s="56" t="n">
        <f aca="false">ROUND(V305*(1+N(Debts!$D$11)/12),2)</f>
        <v>0</v>
      </c>
      <c r="AG306" s="56" t="n">
        <f aca="false">ROUND(W305*(1+N(Debts!$D$12)/12),2)</f>
        <v>0</v>
      </c>
      <c r="AH306" s="56" t="n">
        <f aca="false">ROUND(X305*(1+N(Debts!$D$13)/12),2)</f>
        <v>0</v>
      </c>
      <c r="AI306" s="56" t="n">
        <f aca="false">ROUND(Y305*(1+N(Debts!$D$14)/12),2)</f>
        <v>0</v>
      </c>
      <c r="AJ306" s="56" t="n">
        <f aca="false">MIN(Z306,MAX(0,N(Debts!$E$5)))</f>
        <v>0</v>
      </c>
      <c r="AK306" s="56" t="n">
        <f aca="false">MIN(AA306,MAX(0,N(Debts!$E$6)))</f>
        <v>0</v>
      </c>
      <c r="AL306" s="56" t="n">
        <f aca="false">MIN(AB306,MAX(0,N(Debts!$E$7)))</f>
        <v>0</v>
      </c>
      <c r="AM306" s="56" t="n">
        <f aca="false">MIN(AC306,MAX(0,N(Debts!$E$8)))</f>
        <v>0</v>
      </c>
      <c r="AN306" s="56" t="n">
        <f aca="false">MIN(AD306,MAX(0,N(Debts!$E$9)))</f>
        <v>0</v>
      </c>
      <c r="AO306" s="56" t="n">
        <f aca="false">MIN(AE306,MAX(0,N(Debts!$E$10)))</f>
        <v>0</v>
      </c>
      <c r="AP306" s="56" t="n">
        <f aca="false">MIN(AF306,MAX(0,N(Debts!$E$11)))</f>
        <v>0</v>
      </c>
      <c r="AQ306" s="56" t="n">
        <f aca="false">MIN(AG306,MAX(0,N(Debts!$E$12)))</f>
        <v>0</v>
      </c>
      <c r="AR306" s="56" t="n">
        <f aca="false">MIN(AH306,MAX(0,N(Debts!$E$13)))</f>
        <v>0</v>
      </c>
      <c r="AS306" s="56" t="n">
        <f aca="false">MIN(AI306,MAX(0,N(Debts!$E$14)))</f>
        <v>0</v>
      </c>
    </row>
    <row r="307" customFormat="false" ht="15" hidden="false" customHeight="false" outlineLevel="0" collapsed="false">
      <c r="A307" s="53" t="n">
        <v>303</v>
      </c>
      <c r="B307" s="54" t="n">
        <f aca="false">EDATE('Start Here'!$B$8,302)</f>
        <v>55519</v>
      </c>
      <c r="C307" s="42" t="n">
        <f aca="false">SUM(F307:O307)</f>
        <v>0</v>
      </c>
      <c r="D307" s="42" t="n">
        <f aca="false">ROUND(SUM($Z307:$AI307)-SUM(P306:Y306),2)</f>
        <v>0</v>
      </c>
      <c r="E307" s="55" t="n">
        <f aca="false">SUM(P307:Y307)</f>
        <v>0</v>
      </c>
      <c r="F307" s="42" t="n">
        <f aca="false">AJ307+MIN(Z307-AJ307,MAX(0,'Start Here'!$B$10-SUM($AJ307:$AS307)-SUMPRODUCT(($Z$3:$AI$3&lt;Z$3)*($Z307:$AI307-$AJ307:$AS307))))</f>
        <v>0</v>
      </c>
      <c r="G307" s="42" t="n">
        <f aca="false">AK307+MIN(AA307-AK307,MAX(0,'Start Here'!$B$10-SUM($AJ307:$AS307)-SUMPRODUCT(($Z$3:$AI$3&lt;AA$3)*($Z307:$AI307-$AJ307:$AS307))))</f>
        <v>0</v>
      </c>
      <c r="H307" s="42" t="n">
        <f aca="false">AL307+MIN(AB307-AL307,MAX(0,'Start Here'!$B$10-SUM($AJ307:$AS307)-SUMPRODUCT(($Z$3:$AI$3&lt;AB$3)*($Z307:$AI307-$AJ307:$AS307))))</f>
        <v>0</v>
      </c>
      <c r="I307" s="42" t="n">
        <f aca="false">AM307+MIN(AC307-AM307,MAX(0,'Start Here'!$B$10-SUM($AJ307:$AS307)-SUMPRODUCT(($Z$3:$AI$3&lt;AC$3)*($Z307:$AI307-$AJ307:$AS307))))</f>
        <v>0</v>
      </c>
      <c r="J307" s="42" t="n">
        <f aca="false">AN307+MIN(AD307-AN307,MAX(0,'Start Here'!$B$10-SUM($AJ307:$AS307)-SUMPRODUCT(($Z$3:$AI$3&lt;AD$3)*($Z307:$AI307-$AJ307:$AS307))))</f>
        <v>0</v>
      </c>
      <c r="K307" s="42" t="n">
        <f aca="false">AO307+MIN(AE307-AO307,MAX(0,'Start Here'!$B$10-SUM($AJ307:$AS307)-SUMPRODUCT(($Z$3:$AI$3&lt;AE$3)*($Z307:$AI307-$AJ307:$AS307))))</f>
        <v>0</v>
      </c>
      <c r="L307" s="42" t="n">
        <f aca="false">AP307+MIN(AF307-AP307,MAX(0,'Start Here'!$B$10-SUM($AJ307:$AS307)-SUMPRODUCT(($Z$3:$AI$3&lt;AF$3)*($Z307:$AI307-$AJ307:$AS307))))</f>
        <v>0</v>
      </c>
      <c r="M307" s="42" t="n">
        <f aca="false">AQ307+MIN(AG307-AQ307,MAX(0,'Start Here'!$B$10-SUM($AJ307:$AS307)-SUMPRODUCT(($Z$3:$AI$3&lt;AG$3)*($Z307:$AI307-$AJ307:$AS307))))</f>
        <v>0</v>
      </c>
      <c r="N307" s="42" t="n">
        <f aca="false">AR307+MIN(AH307-AR307,MAX(0,'Start Here'!$B$10-SUM($AJ307:$AS307)-SUMPRODUCT(($Z$3:$AI$3&lt;AH$3)*($Z307:$AI307-$AJ307:$AS307))))</f>
        <v>0</v>
      </c>
      <c r="O307" s="42" t="n">
        <f aca="false">AS307+MIN(AI307-AS307,MAX(0,'Start Here'!$B$10-SUM($AJ307:$AS307)-SUMPRODUCT(($Z$3:$AI$3&lt;AI$3)*($Z307:$AI307-$AJ307:$AS307))))</f>
        <v>0</v>
      </c>
      <c r="P307" s="42" t="n">
        <f aca="false">ROUND(Z307-F307,2)</f>
        <v>0</v>
      </c>
      <c r="Q307" s="42" t="n">
        <f aca="false">ROUND(AA307-G307,2)</f>
        <v>0</v>
      </c>
      <c r="R307" s="42" t="n">
        <f aca="false">ROUND(AB307-H307,2)</f>
        <v>0</v>
      </c>
      <c r="S307" s="42" t="n">
        <f aca="false">ROUND(AC307-I307,2)</f>
        <v>0</v>
      </c>
      <c r="T307" s="42" t="n">
        <f aca="false">ROUND(AD307-J307,2)</f>
        <v>0</v>
      </c>
      <c r="U307" s="42" t="n">
        <f aca="false">ROUND(AE307-K307,2)</f>
        <v>0</v>
      </c>
      <c r="V307" s="42" t="n">
        <f aca="false">ROUND(AF307-L307,2)</f>
        <v>0</v>
      </c>
      <c r="W307" s="42" t="n">
        <f aca="false">ROUND(AG307-M307,2)</f>
        <v>0</v>
      </c>
      <c r="X307" s="42" t="n">
        <f aca="false">ROUND(AH307-N307,2)</f>
        <v>0</v>
      </c>
      <c r="Y307" s="42" t="n">
        <f aca="false">ROUND(AI307-O307,2)</f>
        <v>0</v>
      </c>
      <c r="Z307" s="56" t="n">
        <f aca="false">ROUND(P306*(1+N(Debts!$D$5)/12),2)</f>
        <v>0</v>
      </c>
      <c r="AA307" s="56" t="n">
        <f aca="false">ROUND(Q306*(1+N(Debts!$D$6)/12),2)</f>
        <v>0</v>
      </c>
      <c r="AB307" s="56" t="n">
        <f aca="false">ROUND(R306*(1+N(Debts!$D$7)/12),2)</f>
        <v>0</v>
      </c>
      <c r="AC307" s="56" t="n">
        <f aca="false">ROUND(S306*(1+N(Debts!$D$8)/12),2)</f>
        <v>0</v>
      </c>
      <c r="AD307" s="56" t="n">
        <f aca="false">ROUND(T306*(1+N(Debts!$D$9)/12),2)</f>
        <v>0</v>
      </c>
      <c r="AE307" s="56" t="n">
        <f aca="false">ROUND(U306*(1+N(Debts!$D$10)/12),2)</f>
        <v>0</v>
      </c>
      <c r="AF307" s="56" t="n">
        <f aca="false">ROUND(V306*(1+N(Debts!$D$11)/12),2)</f>
        <v>0</v>
      </c>
      <c r="AG307" s="56" t="n">
        <f aca="false">ROUND(W306*(1+N(Debts!$D$12)/12),2)</f>
        <v>0</v>
      </c>
      <c r="AH307" s="56" t="n">
        <f aca="false">ROUND(X306*(1+N(Debts!$D$13)/12),2)</f>
        <v>0</v>
      </c>
      <c r="AI307" s="56" t="n">
        <f aca="false">ROUND(Y306*(1+N(Debts!$D$14)/12),2)</f>
        <v>0</v>
      </c>
      <c r="AJ307" s="56" t="n">
        <f aca="false">MIN(Z307,MAX(0,N(Debts!$E$5)))</f>
        <v>0</v>
      </c>
      <c r="AK307" s="56" t="n">
        <f aca="false">MIN(AA307,MAX(0,N(Debts!$E$6)))</f>
        <v>0</v>
      </c>
      <c r="AL307" s="56" t="n">
        <f aca="false">MIN(AB307,MAX(0,N(Debts!$E$7)))</f>
        <v>0</v>
      </c>
      <c r="AM307" s="56" t="n">
        <f aca="false">MIN(AC307,MAX(0,N(Debts!$E$8)))</f>
        <v>0</v>
      </c>
      <c r="AN307" s="56" t="n">
        <f aca="false">MIN(AD307,MAX(0,N(Debts!$E$9)))</f>
        <v>0</v>
      </c>
      <c r="AO307" s="56" t="n">
        <f aca="false">MIN(AE307,MAX(0,N(Debts!$E$10)))</f>
        <v>0</v>
      </c>
      <c r="AP307" s="56" t="n">
        <f aca="false">MIN(AF307,MAX(0,N(Debts!$E$11)))</f>
        <v>0</v>
      </c>
      <c r="AQ307" s="56" t="n">
        <f aca="false">MIN(AG307,MAX(0,N(Debts!$E$12)))</f>
        <v>0</v>
      </c>
      <c r="AR307" s="56" t="n">
        <f aca="false">MIN(AH307,MAX(0,N(Debts!$E$13)))</f>
        <v>0</v>
      </c>
      <c r="AS307" s="56" t="n">
        <f aca="false">MIN(AI307,MAX(0,N(Debts!$E$14)))</f>
        <v>0</v>
      </c>
    </row>
    <row r="308" customFormat="false" ht="15" hidden="false" customHeight="false" outlineLevel="0" collapsed="false">
      <c r="A308" s="53" t="n">
        <v>304</v>
      </c>
      <c r="B308" s="54" t="n">
        <f aca="false">EDATE('Start Here'!$B$8,303)</f>
        <v>55550</v>
      </c>
      <c r="C308" s="42" t="n">
        <f aca="false">SUM(F308:O308)</f>
        <v>0</v>
      </c>
      <c r="D308" s="42" t="n">
        <f aca="false">ROUND(SUM($Z308:$AI308)-SUM(P307:Y307),2)</f>
        <v>0</v>
      </c>
      <c r="E308" s="55" t="n">
        <f aca="false">SUM(P308:Y308)</f>
        <v>0</v>
      </c>
      <c r="F308" s="42" t="n">
        <f aca="false">AJ308+MIN(Z308-AJ308,MAX(0,'Start Here'!$B$10-SUM($AJ308:$AS308)-SUMPRODUCT(($Z$3:$AI$3&lt;Z$3)*($Z308:$AI308-$AJ308:$AS308))))</f>
        <v>0</v>
      </c>
      <c r="G308" s="42" t="n">
        <f aca="false">AK308+MIN(AA308-AK308,MAX(0,'Start Here'!$B$10-SUM($AJ308:$AS308)-SUMPRODUCT(($Z$3:$AI$3&lt;AA$3)*($Z308:$AI308-$AJ308:$AS308))))</f>
        <v>0</v>
      </c>
      <c r="H308" s="42" t="n">
        <f aca="false">AL308+MIN(AB308-AL308,MAX(0,'Start Here'!$B$10-SUM($AJ308:$AS308)-SUMPRODUCT(($Z$3:$AI$3&lt;AB$3)*($Z308:$AI308-$AJ308:$AS308))))</f>
        <v>0</v>
      </c>
      <c r="I308" s="42" t="n">
        <f aca="false">AM308+MIN(AC308-AM308,MAX(0,'Start Here'!$B$10-SUM($AJ308:$AS308)-SUMPRODUCT(($Z$3:$AI$3&lt;AC$3)*($Z308:$AI308-$AJ308:$AS308))))</f>
        <v>0</v>
      </c>
      <c r="J308" s="42" t="n">
        <f aca="false">AN308+MIN(AD308-AN308,MAX(0,'Start Here'!$B$10-SUM($AJ308:$AS308)-SUMPRODUCT(($Z$3:$AI$3&lt;AD$3)*($Z308:$AI308-$AJ308:$AS308))))</f>
        <v>0</v>
      </c>
      <c r="K308" s="42" t="n">
        <f aca="false">AO308+MIN(AE308-AO308,MAX(0,'Start Here'!$B$10-SUM($AJ308:$AS308)-SUMPRODUCT(($Z$3:$AI$3&lt;AE$3)*($Z308:$AI308-$AJ308:$AS308))))</f>
        <v>0</v>
      </c>
      <c r="L308" s="42" t="n">
        <f aca="false">AP308+MIN(AF308-AP308,MAX(0,'Start Here'!$B$10-SUM($AJ308:$AS308)-SUMPRODUCT(($Z$3:$AI$3&lt;AF$3)*($Z308:$AI308-$AJ308:$AS308))))</f>
        <v>0</v>
      </c>
      <c r="M308" s="42" t="n">
        <f aca="false">AQ308+MIN(AG308-AQ308,MAX(0,'Start Here'!$B$10-SUM($AJ308:$AS308)-SUMPRODUCT(($Z$3:$AI$3&lt;AG$3)*($Z308:$AI308-$AJ308:$AS308))))</f>
        <v>0</v>
      </c>
      <c r="N308" s="42" t="n">
        <f aca="false">AR308+MIN(AH308-AR308,MAX(0,'Start Here'!$B$10-SUM($AJ308:$AS308)-SUMPRODUCT(($Z$3:$AI$3&lt;AH$3)*($Z308:$AI308-$AJ308:$AS308))))</f>
        <v>0</v>
      </c>
      <c r="O308" s="42" t="n">
        <f aca="false">AS308+MIN(AI308-AS308,MAX(0,'Start Here'!$B$10-SUM($AJ308:$AS308)-SUMPRODUCT(($Z$3:$AI$3&lt;AI$3)*($Z308:$AI308-$AJ308:$AS308))))</f>
        <v>0</v>
      </c>
      <c r="P308" s="42" t="n">
        <f aca="false">ROUND(Z308-F308,2)</f>
        <v>0</v>
      </c>
      <c r="Q308" s="42" t="n">
        <f aca="false">ROUND(AA308-G308,2)</f>
        <v>0</v>
      </c>
      <c r="R308" s="42" t="n">
        <f aca="false">ROUND(AB308-H308,2)</f>
        <v>0</v>
      </c>
      <c r="S308" s="42" t="n">
        <f aca="false">ROUND(AC308-I308,2)</f>
        <v>0</v>
      </c>
      <c r="T308" s="42" t="n">
        <f aca="false">ROUND(AD308-J308,2)</f>
        <v>0</v>
      </c>
      <c r="U308" s="42" t="n">
        <f aca="false">ROUND(AE308-K308,2)</f>
        <v>0</v>
      </c>
      <c r="V308" s="42" t="n">
        <f aca="false">ROUND(AF308-L308,2)</f>
        <v>0</v>
      </c>
      <c r="W308" s="42" t="n">
        <f aca="false">ROUND(AG308-M308,2)</f>
        <v>0</v>
      </c>
      <c r="X308" s="42" t="n">
        <f aca="false">ROUND(AH308-N308,2)</f>
        <v>0</v>
      </c>
      <c r="Y308" s="42" t="n">
        <f aca="false">ROUND(AI308-O308,2)</f>
        <v>0</v>
      </c>
      <c r="Z308" s="56" t="n">
        <f aca="false">ROUND(P307*(1+N(Debts!$D$5)/12),2)</f>
        <v>0</v>
      </c>
      <c r="AA308" s="56" t="n">
        <f aca="false">ROUND(Q307*(1+N(Debts!$D$6)/12),2)</f>
        <v>0</v>
      </c>
      <c r="AB308" s="56" t="n">
        <f aca="false">ROUND(R307*(1+N(Debts!$D$7)/12),2)</f>
        <v>0</v>
      </c>
      <c r="AC308" s="56" t="n">
        <f aca="false">ROUND(S307*(1+N(Debts!$D$8)/12),2)</f>
        <v>0</v>
      </c>
      <c r="AD308" s="56" t="n">
        <f aca="false">ROUND(T307*(1+N(Debts!$D$9)/12),2)</f>
        <v>0</v>
      </c>
      <c r="AE308" s="56" t="n">
        <f aca="false">ROUND(U307*(1+N(Debts!$D$10)/12),2)</f>
        <v>0</v>
      </c>
      <c r="AF308" s="56" t="n">
        <f aca="false">ROUND(V307*(1+N(Debts!$D$11)/12),2)</f>
        <v>0</v>
      </c>
      <c r="AG308" s="56" t="n">
        <f aca="false">ROUND(W307*(1+N(Debts!$D$12)/12),2)</f>
        <v>0</v>
      </c>
      <c r="AH308" s="56" t="n">
        <f aca="false">ROUND(X307*(1+N(Debts!$D$13)/12),2)</f>
        <v>0</v>
      </c>
      <c r="AI308" s="56" t="n">
        <f aca="false">ROUND(Y307*(1+N(Debts!$D$14)/12),2)</f>
        <v>0</v>
      </c>
      <c r="AJ308" s="56" t="n">
        <f aca="false">MIN(Z308,MAX(0,N(Debts!$E$5)))</f>
        <v>0</v>
      </c>
      <c r="AK308" s="56" t="n">
        <f aca="false">MIN(AA308,MAX(0,N(Debts!$E$6)))</f>
        <v>0</v>
      </c>
      <c r="AL308" s="56" t="n">
        <f aca="false">MIN(AB308,MAX(0,N(Debts!$E$7)))</f>
        <v>0</v>
      </c>
      <c r="AM308" s="56" t="n">
        <f aca="false">MIN(AC308,MAX(0,N(Debts!$E$8)))</f>
        <v>0</v>
      </c>
      <c r="AN308" s="56" t="n">
        <f aca="false">MIN(AD308,MAX(0,N(Debts!$E$9)))</f>
        <v>0</v>
      </c>
      <c r="AO308" s="56" t="n">
        <f aca="false">MIN(AE308,MAX(0,N(Debts!$E$10)))</f>
        <v>0</v>
      </c>
      <c r="AP308" s="56" t="n">
        <f aca="false">MIN(AF308,MAX(0,N(Debts!$E$11)))</f>
        <v>0</v>
      </c>
      <c r="AQ308" s="56" t="n">
        <f aca="false">MIN(AG308,MAX(0,N(Debts!$E$12)))</f>
        <v>0</v>
      </c>
      <c r="AR308" s="56" t="n">
        <f aca="false">MIN(AH308,MAX(0,N(Debts!$E$13)))</f>
        <v>0</v>
      </c>
      <c r="AS308" s="56" t="n">
        <f aca="false">MIN(AI308,MAX(0,N(Debts!$E$14)))</f>
        <v>0</v>
      </c>
    </row>
    <row r="309" customFormat="false" ht="15" hidden="false" customHeight="false" outlineLevel="0" collapsed="false">
      <c r="A309" s="53" t="n">
        <v>305</v>
      </c>
      <c r="B309" s="54" t="n">
        <f aca="false">EDATE('Start Here'!$B$8,304)</f>
        <v>55579</v>
      </c>
      <c r="C309" s="42" t="n">
        <f aca="false">SUM(F309:O309)</f>
        <v>0</v>
      </c>
      <c r="D309" s="42" t="n">
        <f aca="false">ROUND(SUM($Z309:$AI309)-SUM(P308:Y308),2)</f>
        <v>0</v>
      </c>
      <c r="E309" s="55" t="n">
        <f aca="false">SUM(P309:Y309)</f>
        <v>0</v>
      </c>
      <c r="F309" s="42" t="n">
        <f aca="false">AJ309+MIN(Z309-AJ309,MAX(0,'Start Here'!$B$10-SUM($AJ309:$AS309)-SUMPRODUCT(($Z$3:$AI$3&lt;Z$3)*($Z309:$AI309-$AJ309:$AS309))))</f>
        <v>0</v>
      </c>
      <c r="G309" s="42" t="n">
        <f aca="false">AK309+MIN(AA309-AK309,MAX(0,'Start Here'!$B$10-SUM($AJ309:$AS309)-SUMPRODUCT(($Z$3:$AI$3&lt;AA$3)*($Z309:$AI309-$AJ309:$AS309))))</f>
        <v>0</v>
      </c>
      <c r="H309" s="42" t="n">
        <f aca="false">AL309+MIN(AB309-AL309,MAX(0,'Start Here'!$B$10-SUM($AJ309:$AS309)-SUMPRODUCT(($Z$3:$AI$3&lt;AB$3)*($Z309:$AI309-$AJ309:$AS309))))</f>
        <v>0</v>
      </c>
      <c r="I309" s="42" t="n">
        <f aca="false">AM309+MIN(AC309-AM309,MAX(0,'Start Here'!$B$10-SUM($AJ309:$AS309)-SUMPRODUCT(($Z$3:$AI$3&lt;AC$3)*($Z309:$AI309-$AJ309:$AS309))))</f>
        <v>0</v>
      </c>
      <c r="J309" s="42" t="n">
        <f aca="false">AN309+MIN(AD309-AN309,MAX(0,'Start Here'!$B$10-SUM($AJ309:$AS309)-SUMPRODUCT(($Z$3:$AI$3&lt;AD$3)*($Z309:$AI309-$AJ309:$AS309))))</f>
        <v>0</v>
      </c>
      <c r="K309" s="42" t="n">
        <f aca="false">AO309+MIN(AE309-AO309,MAX(0,'Start Here'!$B$10-SUM($AJ309:$AS309)-SUMPRODUCT(($Z$3:$AI$3&lt;AE$3)*($Z309:$AI309-$AJ309:$AS309))))</f>
        <v>0</v>
      </c>
      <c r="L309" s="42" t="n">
        <f aca="false">AP309+MIN(AF309-AP309,MAX(0,'Start Here'!$B$10-SUM($AJ309:$AS309)-SUMPRODUCT(($Z$3:$AI$3&lt;AF$3)*($Z309:$AI309-$AJ309:$AS309))))</f>
        <v>0</v>
      </c>
      <c r="M309" s="42" t="n">
        <f aca="false">AQ309+MIN(AG309-AQ309,MAX(0,'Start Here'!$B$10-SUM($AJ309:$AS309)-SUMPRODUCT(($Z$3:$AI$3&lt;AG$3)*($Z309:$AI309-$AJ309:$AS309))))</f>
        <v>0</v>
      </c>
      <c r="N309" s="42" t="n">
        <f aca="false">AR309+MIN(AH309-AR309,MAX(0,'Start Here'!$B$10-SUM($AJ309:$AS309)-SUMPRODUCT(($Z$3:$AI$3&lt;AH$3)*($Z309:$AI309-$AJ309:$AS309))))</f>
        <v>0</v>
      </c>
      <c r="O309" s="42" t="n">
        <f aca="false">AS309+MIN(AI309-AS309,MAX(0,'Start Here'!$B$10-SUM($AJ309:$AS309)-SUMPRODUCT(($Z$3:$AI$3&lt;AI$3)*($Z309:$AI309-$AJ309:$AS309))))</f>
        <v>0</v>
      </c>
      <c r="P309" s="42" t="n">
        <f aca="false">ROUND(Z309-F309,2)</f>
        <v>0</v>
      </c>
      <c r="Q309" s="42" t="n">
        <f aca="false">ROUND(AA309-G309,2)</f>
        <v>0</v>
      </c>
      <c r="R309" s="42" t="n">
        <f aca="false">ROUND(AB309-H309,2)</f>
        <v>0</v>
      </c>
      <c r="S309" s="42" t="n">
        <f aca="false">ROUND(AC309-I309,2)</f>
        <v>0</v>
      </c>
      <c r="T309" s="42" t="n">
        <f aca="false">ROUND(AD309-J309,2)</f>
        <v>0</v>
      </c>
      <c r="U309" s="42" t="n">
        <f aca="false">ROUND(AE309-K309,2)</f>
        <v>0</v>
      </c>
      <c r="V309" s="42" t="n">
        <f aca="false">ROUND(AF309-L309,2)</f>
        <v>0</v>
      </c>
      <c r="W309" s="42" t="n">
        <f aca="false">ROUND(AG309-M309,2)</f>
        <v>0</v>
      </c>
      <c r="X309" s="42" t="n">
        <f aca="false">ROUND(AH309-N309,2)</f>
        <v>0</v>
      </c>
      <c r="Y309" s="42" t="n">
        <f aca="false">ROUND(AI309-O309,2)</f>
        <v>0</v>
      </c>
      <c r="Z309" s="56" t="n">
        <f aca="false">ROUND(P308*(1+N(Debts!$D$5)/12),2)</f>
        <v>0</v>
      </c>
      <c r="AA309" s="56" t="n">
        <f aca="false">ROUND(Q308*(1+N(Debts!$D$6)/12),2)</f>
        <v>0</v>
      </c>
      <c r="AB309" s="56" t="n">
        <f aca="false">ROUND(R308*(1+N(Debts!$D$7)/12),2)</f>
        <v>0</v>
      </c>
      <c r="AC309" s="56" t="n">
        <f aca="false">ROUND(S308*(1+N(Debts!$D$8)/12),2)</f>
        <v>0</v>
      </c>
      <c r="AD309" s="56" t="n">
        <f aca="false">ROUND(T308*(1+N(Debts!$D$9)/12),2)</f>
        <v>0</v>
      </c>
      <c r="AE309" s="56" t="n">
        <f aca="false">ROUND(U308*(1+N(Debts!$D$10)/12),2)</f>
        <v>0</v>
      </c>
      <c r="AF309" s="56" t="n">
        <f aca="false">ROUND(V308*(1+N(Debts!$D$11)/12),2)</f>
        <v>0</v>
      </c>
      <c r="AG309" s="56" t="n">
        <f aca="false">ROUND(W308*(1+N(Debts!$D$12)/12),2)</f>
        <v>0</v>
      </c>
      <c r="AH309" s="56" t="n">
        <f aca="false">ROUND(X308*(1+N(Debts!$D$13)/12),2)</f>
        <v>0</v>
      </c>
      <c r="AI309" s="56" t="n">
        <f aca="false">ROUND(Y308*(1+N(Debts!$D$14)/12),2)</f>
        <v>0</v>
      </c>
      <c r="AJ309" s="56" t="n">
        <f aca="false">MIN(Z309,MAX(0,N(Debts!$E$5)))</f>
        <v>0</v>
      </c>
      <c r="AK309" s="56" t="n">
        <f aca="false">MIN(AA309,MAX(0,N(Debts!$E$6)))</f>
        <v>0</v>
      </c>
      <c r="AL309" s="56" t="n">
        <f aca="false">MIN(AB309,MAX(0,N(Debts!$E$7)))</f>
        <v>0</v>
      </c>
      <c r="AM309" s="56" t="n">
        <f aca="false">MIN(AC309,MAX(0,N(Debts!$E$8)))</f>
        <v>0</v>
      </c>
      <c r="AN309" s="56" t="n">
        <f aca="false">MIN(AD309,MAX(0,N(Debts!$E$9)))</f>
        <v>0</v>
      </c>
      <c r="AO309" s="56" t="n">
        <f aca="false">MIN(AE309,MAX(0,N(Debts!$E$10)))</f>
        <v>0</v>
      </c>
      <c r="AP309" s="56" t="n">
        <f aca="false">MIN(AF309,MAX(0,N(Debts!$E$11)))</f>
        <v>0</v>
      </c>
      <c r="AQ309" s="56" t="n">
        <f aca="false">MIN(AG309,MAX(0,N(Debts!$E$12)))</f>
        <v>0</v>
      </c>
      <c r="AR309" s="56" t="n">
        <f aca="false">MIN(AH309,MAX(0,N(Debts!$E$13)))</f>
        <v>0</v>
      </c>
      <c r="AS309" s="56" t="n">
        <f aca="false">MIN(AI309,MAX(0,N(Debts!$E$14)))</f>
        <v>0</v>
      </c>
    </row>
    <row r="310" customFormat="false" ht="15" hidden="false" customHeight="false" outlineLevel="0" collapsed="false">
      <c r="A310" s="53" t="n">
        <v>306</v>
      </c>
      <c r="B310" s="54" t="n">
        <f aca="false">EDATE('Start Here'!$B$8,305)</f>
        <v>55610</v>
      </c>
      <c r="C310" s="42" t="n">
        <f aca="false">SUM(F310:O310)</f>
        <v>0</v>
      </c>
      <c r="D310" s="42" t="n">
        <f aca="false">ROUND(SUM($Z310:$AI310)-SUM(P309:Y309),2)</f>
        <v>0</v>
      </c>
      <c r="E310" s="55" t="n">
        <f aca="false">SUM(P310:Y310)</f>
        <v>0</v>
      </c>
      <c r="F310" s="42" t="n">
        <f aca="false">AJ310+MIN(Z310-AJ310,MAX(0,'Start Here'!$B$10-SUM($AJ310:$AS310)-SUMPRODUCT(($Z$3:$AI$3&lt;Z$3)*($Z310:$AI310-$AJ310:$AS310))))</f>
        <v>0</v>
      </c>
      <c r="G310" s="42" t="n">
        <f aca="false">AK310+MIN(AA310-AK310,MAX(0,'Start Here'!$B$10-SUM($AJ310:$AS310)-SUMPRODUCT(($Z$3:$AI$3&lt;AA$3)*($Z310:$AI310-$AJ310:$AS310))))</f>
        <v>0</v>
      </c>
      <c r="H310" s="42" t="n">
        <f aca="false">AL310+MIN(AB310-AL310,MAX(0,'Start Here'!$B$10-SUM($AJ310:$AS310)-SUMPRODUCT(($Z$3:$AI$3&lt;AB$3)*($Z310:$AI310-$AJ310:$AS310))))</f>
        <v>0</v>
      </c>
      <c r="I310" s="42" t="n">
        <f aca="false">AM310+MIN(AC310-AM310,MAX(0,'Start Here'!$B$10-SUM($AJ310:$AS310)-SUMPRODUCT(($Z$3:$AI$3&lt;AC$3)*($Z310:$AI310-$AJ310:$AS310))))</f>
        <v>0</v>
      </c>
      <c r="J310" s="42" t="n">
        <f aca="false">AN310+MIN(AD310-AN310,MAX(0,'Start Here'!$B$10-SUM($AJ310:$AS310)-SUMPRODUCT(($Z$3:$AI$3&lt;AD$3)*($Z310:$AI310-$AJ310:$AS310))))</f>
        <v>0</v>
      </c>
      <c r="K310" s="42" t="n">
        <f aca="false">AO310+MIN(AE310-AO310,MAX(0,'Start Here'!$B$10-SUM($AJ310:$AS310)-SUMPRODUCT(($Z$3:$AI$3&lt;AE$3)*($Z310:$AI310-$AJ310:$AS310))))</f>
        <v>0</v>
      </c>
      <c r="L310" s="42" t="n">
        <f aca="false">AP310+MIN(AF310-AP310,MAX(0,'Start Here'!$B$10-SUM($AJ310:$AS310)-SUMPRODUCT(($Z$3:$AI$3&lt;AF$3)*($Z310:$AI310-$AJ310:$AS310))))</f>
        <v>0</v>
      </c>
      <c r="M310" s="42" t="n">
        <f aca="false">AQ310+MIN(AG310-AQ310,MAX(0,'Start Here'!$B$10-SUM($AJ310:$AS310)-SUMPRODUCT(($Z$3:$AI$3&lt;AG$3)*($Z310:$AI310-$AJ310:$AS310))))</f>
        <v>0</v>
      </c>
      <c r="N310" s="42" t="n">
        <f aca="false">AR310+MIN(AH310-AR310,MAX(0,'Start Here'!$B$10-SUM($AJ310:$AS310)-SUMPRODUCT(($Z$3:$AI$3&lt;AH$3)*($Z310:$AI310-$AJ310:$AS310))))</f>
        <v>0</v>
      </c>
      <c r="O310" s="42" t="n">
        <f aca="false">AS310+MIN(AI310-AS310,MAX(0,'Start Here'!$B$10-SUM($AJ310:$AS310)-SUMPRODUCT(($Z$3:$AI$3&lt;AI$3)*($Z310:$AI310-$AJ310:$AS310))))</f>
        <v>0</v>
      </c>
      <c r="P310" s="42" t="n">
        <f aca="false">ROUND(Z310-F310,2)</f>
        <v>0</v>
      </c>
      <c r="Q310" s="42" t="n">
        <f aca="false">ROUND(AA310-G310,2)</f>
        <v>0</v>
      </c>
      <c r="R310" s="42" t="n">
        <f aca="false">ROUND(AB310-H310,2)</f>
        <v>0</v>
      </c>
      <c r="S310" s="42" t="n">
        <f aca="false">ROUND(AC310-I310,2)</f>
        <v>0</v>
      </c>
      <c r="T310" s="42" t="n">
        <f aca="false">ROUND(AD310-J310,2)</f>
        <v>0</v>
      </c>
      <c r="U310" s="42" t="n">
        <f aca="false">ROUND(AE310-K310,2)</f>
        <v>0</v>
      </c>
      <c r="V310" s="42" t="n">
        <f aca="false">ROUND(AF310-L310,2)</f>
        <v>0</v>
      </c>
      <c r="W310" s="42" t="n">
        <f aca="false">ROUND(AG310-M310,2)</f>
        <v>0</v>
      </c>
      <c r="X310" s="42" t="n">
        <f aca="false">ROUND(AH310-N310,2)</f>
        <v>0</v>
      </c>
      <c r="Y310" s="42" t="n">
        <f aca="false">ROUND(AI310-O310,2)</f>
        <v>0</v>
      </c>
      <c r="Z310" s="56" t="n">
        <f aca="false">ROUND(P309*(1+N(Debts!$D$5)/12),2)</f>
        <v>0</v>
      </c>
      <c r="AA310" s="56" t="n">
        <f aca="false">ROUND(Q309*(1+N(Debts!$D$6)/12),2)</f>
        <v>0</v>
      </c>
      <c r="AB310" s="56" t="n">
        <f aca="false">ROUND(R309*(1+N(Debts!$D$7)/12),2)</f>
        <v>0</v>
      </c>
      <c r="AC310" s="56" t="n">
        <f aca="false">ROUND(S309*(1+N(Debts!$D$8)/12),2)</f>
        <v>0</v>
      </c>
      <c r="AD310" s="56" t="n">
        <f aca="false">ROUND(T309*(1+N(Debts!$D$9)/12),2)</f>
        <v>0</v>
      </c>
      <c r="AE310" s="56" t="n">
        <f aca="false">ROUND(U309*(1+N(Debts!$D$10)/12),2)</f>
        <v>0</v>
      </c>
      <c r="AF310" s="56" t="n">
        <f aca="false">ROUND(V309*(1+N(Debts!$D$11)/12),2)</f>
        <v>0</v>
      </c>
      <c r="AG310" s="56" t="n">
        <f aca="false">ROUND(W309*(1+N(Debts!$D$12)/12),2)</f>
        <v>0</v>
      </c>
      <c r="AH310" s="56" t="n">
        <f aca="false">ROUND(X309*(1+N(Debts!$D$13)/12),2)</f>
        <v>0</v>
      </c>
      <c r="AI310" s="56" t="n">
        <f aca="false">ROUND(Y309*(1+N(Debts!$D$14)/12),2)</f>
        <v>0</v>
      </c>
      <c r="AJ310" s="56" t="n">
        <f aca="false">MIN(Z310,MAX(0,N(Debts!$E$5)))</f>
        <v>0</v>
      </c>
      <c r="AK310" s="56" t="n">
        <f aca="false">MIN(AA310,MAX(0,N(Debts!$E$6)))</f>
        <v>0</v>
      </c>
      <c r="AL310" s="56" t="n">
        <f aca="false">MIN(AB310,MAX(0,N(Debts!$E$7)))</f>
        <v>0</v>
      </c>
      <c r="AM310" s="56" t="n">
        <f aca="false">MIN(AC310,MAX(0,N(Debts!$E$8)))</f>
        <v>0</v>
      </c>
      <c r="AN310" s="56" t="n">
        <f aca="false">MIN(AD310,MAX(0,N(Debts!$E$9)))</f>
        <v>0</v>
      </c>
      <c r="AO310" s="56" t="n">
        <f aca="false">MIN(AE310,MAX(0,N(Debts!$E$10)))</f>
        <v>0</v>
      </c>
      <c r="AP310" s="56" t="n">
        <f aca="false">MIN(AF310,MAX(0,N(Debts!$E$11)))</f>
        <v>0</v>
      </c>
      <c r="AQ310" s="56" t="n">
        <f aca="false">MIN(AG310,MAX(0,N(Debts!$E$12)))</f>
        <v>0</v>
      </c>
      <c r="AR310" s="56" t="n">
        <f aca="false">MIN(AH310,MAX(0,N(Debts!$E$13)))</f>
        <v>0</v>
      </c>
      <c r="AS310" s="56" t="n">
        <f aca="false">MIN(AI310,MAX(0,N(Debts!$E$14)))</f>
        <v>0</v>
      </c>
    </row>
    <row r="311" customFormat="false" ht="15" hidden="false" customHeight="false" outlineLevel="0" collapsed="false">
      <c r="A311" s="53" t="n">
        <v>307</v>
      </c>
      <c r="B311" s="54" t="n">
        <f aca="false">EDATE('Start Here'!$B$8,306)</f>
        <v>55640</v>
      </c>
      <c r="C311" s="42" t="n">
        <f aca="false">SUM(F311:O311)</f>
        <v>0</v>
      </c>
      <c r="D311" s="42" t="n">
        <f aca="false">ROUND(SUM($Z311:$AI311)-SUM(P310:Y310),2)</f>
        <v>0</v>
      </c>
      <c r="E311" s="55" t="n">
        <f aca="false">SUM(P311:Y311)</f>
        <v>0</v>
      </c>
      <c r="F311" s="42" t="n">
        <f aca="false">AJ311+MIN(Z311-AJ311,MAX(0,'Start Here'!$B$10-SUM($AJ311:$AS311)-SUMPRODUCT(($Z$3:$AI$3&lt;Z$3)*($Z311:$AI311-$AJ311:$AS311))))</f>
        <v>0</v>
      </c>
      <c r="G311" s="42" t="n">
        <f aca="false">AK311+MIN(AA311-AK311,MAX(0,'Start Here'!$B$10-SUM($AJ311:$AS311)-SUMPRODUCT(($Z$3:$AI$3&lt;AA$3)*($Z311:$AI311-$AJ311:$AS311))))</f>
        <v>0</v>
      </c>
      <c r="H311" s="42" t="n">
        <f aca="false">AL311+MIN(AB311-AL311,MAX(0,'Start Here'!$B$10-SUM($AJ311:$AS311)-SUMPRODUCT(($Z$3:$AI$3&lt;AB$3)*($Z311:$AI311-$AJ311:$AS311))))</f>
        <v>0</v>
      </c>
      <c r="I311" s="42" t="n">
        <f aca="false">AM311+MIN(AC311-AM311,MAX(0,'Start Here'!$B$10-SUM($AJ311:$AS311)-SUMPRODUCT(($Z$3:$AI$3&lt;AC$3)*($Z311:$AI311-$AJ311:$AS311))))</f>
        <v>0</v>
      </c>
      <c r="J311" s="42" t="n">
        <f aca="false">AN311+MIN(AD311-AN311,MAX(0,'Start Here'!$B$10-SUM($AJ311:$AS311)-SUMPRODUCT(($Z$3:$AI$3&lt;AD$3)*($Z311:$AI311-$AJ311:$AS311))))</f>
        <v>0</v>
      </c>
      <c r="K311" s="42" t="n">
        <f aca="false">AO311+MIN(AE311-AO311,MAX(0,'Start Here'!$B$10-SUM($AJ311:$AS311)-SUMPRODUCT(($Z$3:$AI$3&lt;AE$3)*($Z311:$AI311-$AJ311:$AS311))))</f>
        <v>0</v>
      </c>
      <c r="L311" s="42" t="n">
        <f aca="false">AP311+MIN(AF311-AP311,MAX(0,'Start Here'!$B$10-SUM($AJ311:$AS311)-SUMPRODUCT(($Z$3:$AI$3&lt;AF$3)*($Z311:$AI311-$AJ311:$AS311))))</f>
        <v>0</v>
      </c>
      <c r="M311" s="42" t="n">
        <f aca="false">AQ311+MIN(AG311-AQ311,MAX(0,'Start Here'!$B$10-SUM($AJ311:$AS311)-SUMPRODUCT(($Z$3:$AI$3&lt;AG$3)*($Z311:$AI311-$AJ311:$AS311))))</f>
        <v>0</v>
      </c>
      <c r="N311" s="42" t="n">
        <f aca="false">AR311+MIN(AH311-AR311,MAX(0,'Start Here'!$B$10-SUM($AJ311:$AS311)-SUMPRODUCT(($Z$3:$AI$3&lt;AH$3)*($Z311:$AI311-$AJ311:$AS311))))</f>
        <v>0</v>
      </c>
      <c r="O311" s="42" t="n">
        <f aca="false">AS311+MIN(AI311-AS311,MAX(0,'Start Here'!$B$10-SUM($AJ311:$AS311)-SUMPRODUCT(($Z$3:$AI$3&lt;AI$3)*($Z311:$AI311-$AJ311:$AS311))))</f>
        <v>0</v>
      </c>
      <c r="P311" s="42" t="n">
        <f aca="false">ROUND(Z311-F311,2)</f>
        <v>0</v>
      </c>
      <c r="Q311" s="42" t="n">
        <f aca="false">ROUND(AA311-G311,2)</f>
        <v>0</v>
      </c>
      <c r="R311" s="42" t="n">
        <f aca="false">ROUND(AB311-H311,2)</f>
        <v>0</v>
      </c>
      <c r="S311" s="42" t="n">
        <f aca="false">ROUND(AC311-I311,2)</f>
        <v>0</v>
      </c>
      <c r="T311" s="42" t="n">
        <f aca="false">ROUND(AD311-J311,2)</f>
        <v>0</v>
      </c>
      <c r="U311" s="42" t="n">
        <f aca="false">ROUND(AE311-K311,2)</f>
        <v>0</v>
      </c>
      <c r="V311" s="42" t="n">
        <f aca="false">ROUND(AF311-L311,2)</f>
        <v>0</v>
      </c>
      <c r="W311" s="42" t="n">
        <f aca="false">ROUND(AG311-M311,2)</f>
        <v>0</v>
      </c>
      <c r="X311" s="42" t="n">
        <f aca="false">ROUND(AH311-N311,2)</f>
        <v>0</v>
      </c>
      <c r="Y311" s="42" t="n">
        <f aca="false">ROUND(AI311-O311,2)</f>
        <v>0</v>
      </c>
      <c r="Z311" s="56" t="n">
        <f aca="false">ROUND(P310*(1+N(Debts!$D$5)/12),2)</f>
        <v>0</v>
      </c>
      <c r="AA311" s="56" t="n">
        <f aca="false">ROUND(Q310*(1+N(Debts!$D$6)/12),2)</f>
        <v>0</v>
      </c>
      <c r="AB311" s="56" t="n">
        <f aca="false">ROUND(R310*(1+N(Debts!$D$7)/12),2)</f>
        <v>0</v>
      </c>
      <c r="AC311" s="56" t="n">
        <f aca="false">ROUND(S310*(1+N(Debts!$D$8)/12),2)</f>
        <v>0</v>
      </c>
      <c r="AD311" s="56" t="n">
        <f aca="false">ROUND(T310*(1+N(Debts!$D$9)/12),2)</f>
        <v>0</v>
      </c>
      <c r="AE311" s="56" t="n">
        <f aca="false">ROUND(U310*(1+N(Debts!$D$10)/12),2)</f>
        <v>0</v>
      </c>
      <c r="AF311" s="56" t="n">
        <f aca="false">ROUND(V310*(1+N(Debts!$D$11)/12),2)</f>
        <v>0</v>
      </c>
      <c r="AG311" s="56" t="n">
        <f aca="false">ROUND(W310*(1+N(Debts!$D$12)/12),2)</f>
        <v>0</v>
      </c>
      <c r="AH311" s="56" t="n">
        <f aca="false">ROUND(X310*(1+N(Debts!$D$13)/12),2)</f>
        <v>0</v>
      </c>
      <c r="AI311" s="56" t="n">
        <f aca="false">ROUND(Y310*(1+N(Debts!$D$14)/12),2)</f>
        <v>0</v>
      </c>
      <c r="AJ311" s="56" t="n">
        <f aca="false">MIN(Z311,MAX(0,N(Debts!$E$5)))</f>
        <v>0</v>
      </c>
      <c r="AK311" s="56" t="n">
        <f aca="false">MIN(AA311,MAX(0,N(Debts!$E$6)))</f>
        <v>0</v>
      </c>
      <c r="AL311" s="56" t="n">
        <f aca="false">MIN(AB311,MAX(0,N(Debts!$E$7)))</f>
        <v>0</v>
      </c>
      <c r="AM311" s="56" t="n">
        <f aca="false">MIN(AC311,MAX(0,N(Debts!$E$8)))</f>
        <v>0</v>
      </c>
      <c r="AN311" s="56" t="n">
        <f aca="false">MIN(AD311,MAX(0,N(Debts!$E$9)))</f>
        <v>0</v>
      </c>
      <c r="AO311" s="56" t="n">
        <f aca="false">MIN(AE311,MAX(0,N(Debts!$E$10)))</f>
        <v>0</v>
      </c>
      <c r="AP311" s="56" t="n">
        <f aca="false">MIN(AF311,MAX(0,N(Debts!$E$11)))</f>
        <v>0</v>
      </c>
      <c r="AQ311" s="56" t="n">
        <f aca="false">MIN(AG311,MAX(0,N(Debts!$E$12)))</f>
        <v>0</v>
      </c>
      <c r="AR311" s="56" t="n">
        <f aca="false">MIN(AH311,MAX(0,N(Debts!$E$13)))</f>
        <v>0</v>
      </c>
      <c r="AS311" s="56" t="n">
        <f aca="false">MIN(AI311,MAX(0,N(Debts!$E$14)))</f>
        <v>0</v>
      </c>
    </row>
    <row r="312" customFormat="false" ht="15" hidden="false" customHeight="false" outlineLevel="0" collapsed="false">
      <c r="A312" s="53" t="n">
        <v>308</v>
      </c>
      <c r="B312" s="54" t="n">
        <f aca="false">EDATE('Start Here'!$B$8,307)</f>
        <v>55671</v>
      </c>
      <c r="C312" s="42" t="n">
        <f aca="false">SUM(F312:O312)</f>
        <v>0</v>
      </c>
      <c r="D312" s="42" t="n">
        <f aca="false">ROUND(SUM($Z312:$AI312)-SUM(P311:Y311),2)</f>
        <v>0</v>
      </c>
      <c r="E312" s="55" t="n">
        <f aca="false">SUM(P312:Y312)</f>
        <v>0</v>
      </c>
      <c r="F312" s="42" t="n">
        <f aca="false">AJ312+MIN(Z312-AJ312,MAX(0,'Start Here'!$B$10-SUM($AJ312:$AS312)-SUMPRODUCT(($Z$3:$AI$3&lt;Z$3)*($Z312:$AI312-$AJ312:$AS312))))</f>
        <v>0</v>
      </c>
      <c r="G312" s="42" t="n">
        <f aca="false">AK312+MIN(AA312-AK312,MAX(0,'Start Here'!$B$10-SUM($AJ312:$AS312)-SUMPRODUCT(($Z$3:$AI$3&lt;AA$3)*($Z312:$AI312-$AJ312:$AS312))))</f>
        <v>0</v>
      </c>
      <c r="H312" s="42" t="n">
        <f aca="false">AL312+MIN(AB312-AL312,MAX(0,'Start Here'!$B$10-SUM($AJ312:$AS312)-SUMPRODUCT(($Z$3:$AI$3&lt;AB$3)*($Z312:$AI312-$AJ312:$AS312))))</f>
        <v>0</v>
      </c>
      <c r="I312" s="42" t="n">
        <f aca="false">AM312+MIN(AC312-AM312,MAX(0,'Start Here'!$B$10-SUM($AJ312:$AS312)-SUMPRODUCT(($Z$3:$AI$3&lt;AC$3)*($Z312:$AI312-$AJ312:$AS312))))</f>
        <v>0</v>
      </c>
      <c r="J312" s="42" t="n">
        <f aca="false">AN312+MIN(AD312-AN312,MAX(0,'Start Here'!$B$10-SUM($AJ312:$AS312)-SUMPRODUCT(($Z$3:$AI$3&lt;AD$3)*($Z312:$AI312-$AJ312:$AS312))))</f>
        <v>0</v>
      </c>
      <c r="K312" s="42" t="n">
        <f aca="false">AO312+MIN(AE312-AO312,MAX(0,'Start Here'!$B$10-SUM($AJ312:$AS312)-SUMPRODUCT(($Z$3:$AI$3&lt;AE$3)*($Z312:$AI312-$AJ312:$AS312))))</f>
        <v>0</v>
      </c>
      <c r="L312" s="42" t="n">
        <f aca="false">AP312+MIN(AF312-AP312,MAX(0,'Start Here'!$B$10-SUM($AJ312:$AS312)-SUMPRODUCT(($Z$3:$AI$3&lt;AF$3)*($Z312:$AI312-$AJ312:$AS312))))</f>
        <v>0</v>
      </c>
      <c r="M312" s="42" t="n">
        <f aca="false">AQ312+MIN(AG312-AQ312,MAX(0,'Start Here'!$B$10-SUM($AJ312:$AS312)-SUMPRODUCT(($Z$3:$AI$3&lt;AG$3)*($Z312:$AI312-$AJ312:$AS312))))</f>
        <v>0</v>
      </c>
      <c r="N312" s="42" t="n">
        <f aca="false">AR312+MIN(AH312-AR312,MAX(0,'Start Here'!$B$10-SUM($AJ312:$AS312)-SUMPRODUCT(($Z$3:$AI$3&lt;AH$3)*($Z312:$AI312-$AJ312:$AS312))))</f>
        <v>0</v>
      </c>
      <c r="O312" s="42" t="n">
        <f aca="false">AS312+MIN(AI312-AS312,MAX(0,'Start Here'!$B$10-SUM($AJ312:$AS312)-SUMPRODUCT(($Z$3:$AI$3&lt;AI$3)*($Z312:$AI312-$AJ312:$AS312))))</f>
        <v>0</v>
      </c>
      <c r="P312" s="42" t="n">
        <f aca="false">ROUND(Z312-F312,2)</f>
        <v>0</v>
      </c>
      <c r="Q312" s="42" t="n">
        <f aca="false">ROUND(AA312-G312,2)</f>
        <v>0</v>
      </c>
      <c r="R312" s="42" t="n">
        <f aca="false">ROUND(AB312-H312,2)</f>
        <v>0</v>
      </c>
      <c r="S312" s="42" t="n">
        <f aca="false">ROUND(AC312-I312,2)</f>
        <v>0</v>
      </c>
      <c r="T312" s="42" t="n">
        <f aca="false">ROUND(AD312-J312,2)</f>
        <v>0</v>
      </c>
      <c r="U312" s="42" t="n">
        <f aca="false">ROUND(AE312-K312,2)</f>
        <v>0</v>
      </c>
      <c r="V312" s="42" t="n">
        <f aca="false">ROUND(AF312-L312,2)</f>
        <v>0</v>
      </c>
      <c r="W312" s="42" t="n">
        <f aca="false">ROUND(AG312-M312,2)</f>
        <v>0</v>
      </c>
      <c r="X312" s="42" t="n">
        <f aca="false">ROUND(AH312-N312,2)</f>
        <v>0</v>
      </c>
      <c r="Y312" s="42" t="n">
        <f aca="false">ROUND(AI312-O312,2)</f>
        <v>0</v>
      </c>
      <c r="Z312" s="56" t="n">
        <f aca="false">ROUND(P311*(1+N(Debts!$D$5)/12),2)</f>
        <v>0</v>
      </c>
      <c r="AA312" s="56" t="n">
        <f aca="false">ROUND(Q311*(1+N(Debts!$D$6)/12),2)</f>
        <v>0</v>
      </c>
      <c r="AB312" s="56" t="n">
        <f aca="false">ROUND(R311*(1+N(Debts!$D$7)/12),2)</f>
        <v>0</v>
      </c>
      <c r="AC312" s="56" t="n">
        <f aca="false">ROUND(S311*(1+N(Debts!$D$8)/12),2)</f>
        <v>0</v>
      </c>
      <c r="AD312" s="56" t="n">
        <f aca="false">ROUND(T311*(1+N(Debts!$D$9)/12),2)</f>
        <v>0</v>
      </c>
      <c r="AE312" s="56" t="n">
        <f aca="false">ROUND(U311*(1+N(Debts!$D$10)/12),2)</f>
        <v>0</v>
      </c>
      <c r="AF312" s="56" t="n">
        <f aca="false">ROUND(V311*(1+N(Debts!$D$11)/12),2)</f>
        <v>0</v>
      </c>
      <c r="AG312" s="56" t="n">
        <f aca="false">ROUND(W311*(1+N(Debts!$D$12)/12),2)</f>
        <v>0</v>
      </c>
      <c r="AH312" s="56" t="n">
        <f aca="false">ROUND(X311*(1+N(Debts!$D$13)/12),2)</f>
        <v>0</v>
      </c>
      <c r="AI312" s="56" t="n">
        <f aca="false">ROUND(Y311*(1+N(Debts!$D$14)/12),2)</f>
        <v>0</v>
      </c>
      <c r="AJ312" s="56" t="n">
        <f aca="false">MIN(Z312,MAX(0,N(Debts!$E$5)))</f>
        <v>0</v>
      </c>
      <c r="AK312" s="56" t="n">
        <f aca="false">MIN(AA312,MAX(0,N(Debts!$E$6)))</f>
        <v>0</v>
      </c>
      <c r="AL312" s="56" t="n">
        <f aca="false">MIN(AB312,MAX(0,N(Debts!$E$7)))</f>
        <v>0</v>
      </c>
      <c r="AM312" s="56" t="n">
        <f aca="false">MIN(AC312,MAX(0,N(Debts!$E$8)))</f>
        <v>0</v>
      </c>
      <c r="AN312" s="56" t="n">
        <f aca="false">MIN(AD312,MAX(0,N(Debts!$E$9)))</f>
        <v>0</v>
      </c>
      <c r="AO312" s="56" t="n">
        <f aca="false">MIN(AE312,MAX(0,N(Debts!$E$10)))</f>
        <v>0</v>
      </c>
      <c r="AP312" s="56" t="n">
        <f aca="false">MIN(AF312,MAX(0,N(Debts!$E$11)))</f>
        <v>0</v>
      </c>
      <c r="AQ312" s="56" t="n">
        <f aca="false">MIN(AG312,MAX(0,N(Debts!$E$12)))</f>
        <v>0</v>
      </c>
      <c r="AR312" s="56" t="n">
        <f aca="false">MIN(AH312,MAX(0,N(Debts!$E$13)))</f>
        <v>0</v>
      </c>
      <c r="AS312" s="56" t="n">
        <f aca="false">MIN(AI312,MAX(0,N(Debts!$E$14)))</f>
        <v>0</v>
      </c>
    </row>
    <row r="313" customFormat="false" ht="15" hidden="false" customHeight="false" outlineLevel="0" collapsed="false">
      <c r="A313" s="53" t="n">
        <v>309</v>
      </c>
      <c r="B313" s="54" t="n">
        <f aca="false">EDATE('Start Here'!$B$8,308)</f>
        <v>55701</v>
      </c>
      <c r="C313" s="42" t="n">
        <f aca="false">SUM(F313:O313)</f>
        <v>0</v>
      </c>
      <c r="D313" s="42" t="n">
        <f aca="false">ROUND(SUM($Z313:$AI313)-SUM(P312:Y312),2)</f>
        <v>0</v>
      </c>
      <c r="E313" s="55" t="n">
        <f aca="false">SUM(P313:Y313)</f>
        <v>0</v>
      </c>
      <c r="F313" s="42" t="n">
        <f aca="false">AJ313+MIN(Z313-AJ313,MAX(0,'Start Here'!$B$10-SUM($AJ313:$AS313)-SUMPRODUCT(($Z$3:$AI$3&lt;Z$3)*($Z313:$AI313-$AJ313:$AS313))))</f>
        <v>0</v>
      </c>
      <c r="G313" s="42" t="n">
        <f aca="false">AK313+MIN(AA313-AK313,MAX(0,'Start Here'!$B$10-SUM($AJ313:$AS313)-SUMPRODUCT(($Z$3:$AI$3&lt;AA$3)*($Z313:$AI313-$AJ313:$AS313))))</f>
        <v>0</v>
      </c>
      <c r="H313" s="42" t="n">
        <f aca="false">AL313+MIN(AB313-AL313,MAX(0,'Start Here'!$B$10-SUM($AJ313:$AS313)-SUMPRODUCT(($Z$3:$AI$3&lt;AB$3)*($Z313:$AI313-$AJ313:$AS313))))</f>
        <v>0</v>
      </c>
      <c r="I313" s="42" t="n">
        <f aca="false">AM313+MIN(AC313-AM313,MAX(0,'Start Here'!$B$10-SUM($AJ313:$AS313)-SUMPRODUCT(($Z$3:$AI$3&lt;AC$3)*($Z313:$AI313-$AJ313:$AS313))))</f>
        <v>0</v>
      </c>
      <c r="J313" s="42" t="n">
        <f aca="false">AN313+MIN(AD313-AN313,MAX(0,'Start Here'!$B$10-SUM($AJ313:$AS313)-SUMPRODUCT(($Z$3:$AI$3&lt;AD$3)*($Z313:$AI313-$AJ313:$AS313))))</f>
        <v>0</v>
      </c>
      <c r="K313" s="42" t="n">
        <f aca="false">AO313+MIN(AE313-AO313,MAX(0,'Start Here'!$B$10-SUM($AJ313:$AS313)-SUMPRODUCT(($Z$3:$AI$3&lt;AE$3)*($Z313:$AI313-$AJ313:$AS313))))</f>
        <v>0</v>
      </c>
      <c r="L313" s="42" t="n">
        <f aca="false">AP313+MIN(AF313-AP313,MAX(0,'Start Here'!$B$10-SUM($AJ313:$AS313)-SUMPRODUCT(($Z$3:$AI$3&lt;AF$3)*($Z313:$AI313-$AJ313:$AS313))))</f>
        <v>0</v>
      </c>
      <c r="M313" s="42" t="n">
        <f aca="false">AQ313+MIN(AG313-AQ313,MAX(0,'Start Here'!$B$10-SUM($AJ313:$AS313)-SUMPRODUCT(($Z$3:$AI$3&lt;AG$3)*($Z313:$AI313-$AJ313:$AS313))))</f>
        <v>0</v>
      </c>
      <c r="N313" s="42" t="n">
        <f aca="false">AR313+MIN(AH313-AR313,MAX(0,'Start Here'!$B$10-SUM($AJ313:$AS313)-SUMPRODUCT(($Z$3:$AI$3&lt;AH$3)*($Z313:$AI313-$AJ313:$AS313))))</f>
        <v>0</v>
      </c>
      <c r="O313" s="42" t="n">
        <f aca="false">AS313+MIN(AI313-AS313,MAX(0,'Start Here'!$B$10-SUM($AJ313:$AS313)-SUMPRODUCT(($Z$3:$AI$3&lt;AI$3)*($Z313:$AI313-$AJ313:$AS313))))</f>
        <v>0</v>
      </c>
      <c r="P313" s="42" t="n">
        <f aca="false">ROUND(Z313-F313,2)</f>
        <v>0</v>
      </c>
      <c r="Q313" s="42" t="n">
        <f aca="false">ROUND(AA313-G313,2)</f>
        <v>0</v>
      </c>
      <c r="R313" s="42" t="n">
        <f aca="false">ROUND(AB313-H313,2)</f>
        <v>0</v>
      </c>
      <c r="S313" s="42" t="n">
        <f aca="false">ROUND(AC313-I313,2)</f>
        <v>0</v>
      </c>
      <c r="T313" s="42" t="n">
        <f aca="false">ROUND(AD313-J313,2)</f>
        <v>0</v>
      </c>
      <c r="U313" s="42" t="n">
        <f aca="false">ROUND(AE313-K313,2)</f>
        <v>0</v>
      </c>
      <c r="V313" s="42" t="n">
        <f aca="false">ROUND(AF313-L313,2)</f>
        <v>0</v>
      </c>
      <c r="W313" s="42" t="n">
        <f aca="false">ROUND(AG313-M313,2)</f>
        <v>0</v>
      </c>
      <c r="X313" s="42" t="n">
        <f aca="false">ROUND(AH313-N313,2)</f>
        <v>0</v>
      </c>
      <c r="Y313" s="42" t="n">
        <f aca="false">ROUND(AI313-O313,2)</f>
        <v>0</v>
      </c>
      <c r="Z313" s="56" t="n">
        <f aca="false">ROUND(P312*(1+N(Debts!$D$5)/12),2)</f>
        <v>0</v>
      </c>
      <c r="AA313" s="56" t="n">
        <f aca="false">ROUND(Q312*(1+N(Debts!$D$6)/12),2)</f>
        <v>0</v>
      </c>
      <c r="AB313" s="56" t="n">
        <f aca="false">ROUND(R312*(1+N(Debts!$D$7)/12),2)</f>
        <v>0</v>
      </c>
      <c r="AC313" s="56" t="n">
        <f aca="false">ROUND(S312*(1+N(Debts!$D$8)/12),2)</f>
        <v>0</v>
      </c>
      <c r="AD313" s="56" t="n">
        <f aca="false">ROUND(T312*(1+N(Debts!$D$9)/12),2)</f>
        <v>0</v>
      </c>
      <c r="AE313" s="56" t="n">
        <f aca="false">ROUND(U312*(1+N(Debts!$D$10)/12),2)</f>
        <v>0</v>
      </c>
      <c r="AF313" s="56" t="n">
        <f aca="false">ROUND(V312*(1+N(Debts!$D$11)/12),2)</f>
        <v>0</v>
      </c>
      <c r="AG313" s="56" t="n">
        <f aca="false">ROUND(W312*(1+N(Debts!$D$12)/12),2)</f>
        <v>0</v>
      </c>
      <c r="AH313" s="56" t="n">
        <f aca="false">ROUND(X312*(1+N(Debts!$D$13)/12),2)</f>
        <v>0</v>
      </c>
      <c r="AI313" s="56" t="n">
        <f aca="false">ROUND(Y312*(1+N(Debts!$D$14)/12),2)</f>
        <v>0</v>
      </c>
      <c r="AJ313" s="56" t="n">
        <f aca="false">MIN(Z313,MAX(0,N(Debts!$E$5)))</f>
        <v>0</v>
      </c>
      <c r="AK313" s="56" t="n">
        <f aca="false">MIN(AA313,MAX(0,N(Debts!$E$6)))</f>
        <v>0</v>
      </c>
      <c r="AL313" s="56" t="n">
        <f aca="false">MIN(AB313,MAX(0,N(Debts!$E$7)))</f>
        <v>0</v>
      </c>
      <c r="AM313" s="56" t="n">
        <f aca="false">MIN(AC313,MAX(0,N(Debts!$E$8)))</f>
        <v>0</v>
      </c>
      <c r="AN313" s="56" t="n">
        <f aca="false">MIN(AD313,MAX(0,N(Debts!$E$9)))</f>
        <v>0</v>
      </c>
      <c r="AO313" s="56" t="n">
        <f aca="false">MIN(AE313,MAX(0,N(Debts!$E$10)))</f>
        <v>0</v>
      </c>
      <c r="AP313" s="56" t="n">
        <f aca="false">MIN(AF313,MAX(0,N(Debts!$E$11)))</f>
        <v>0</v>
      </c>
      <c r="AQ313" s="56" t="n">
        <f aca="false">MIN(AG313,MAX(0,N(Debts!$E$12)))</f>
        <v>0</v>
      </c>
      <c r="AR313" s="56" t="n">
        <f aca="false">MIN(AH313,MAX(0,N(Debts!$E$13)))</f>
        <v>0</v>
      </c>
      <c r="AS313" s="56" t="n">
        <f aca="false">MIN(AI313,MAX(0,N(Debts!$E$14)))</f>
        <v>0</v>
      </c>
    </row>
    <row r="314" customFormat="false" ht="15" hidden="false" customHeight="false" outlineLevel="0" collapsed="false">
      <c r="A314" s="53" t="n">
        <v>310</v>
      </c>
      <c r="B314" s="54" t="n">
        <f aca="false">EDATE('Start Here'!$B$8,309)</f>
        <v>55732</v>
      </c>
      <c r="C314" s="42" t="n">
        <f aca="false">SUM(F314:O314)</f>
        <v>0</v>
      </c>
      <c r="D314" s="42" t="n">
        <f aca="false">ROUND(SUM($Z314:$AI314)-SUM(P313:Y313),2)</f>
        <v>0</v>
      </c>
      <c r="E314" s="55" t="n">
        <f aca="false">SUM(P314:Y314)</f>
        <v>0</v>
      </c>
      <c r="F314" s="42" t="n">
        <f aca="false">AJ314+MIN(Z314-AJ314,MAX(0,'Start Here'!$B$10-SUM($AJ314:$AS314)-SUMPRODUCT(($Z$3:$AI$3&lt;Z$3)*($Z314:$AI314-$AJ314:$AS314))))</f>
        <v>0</v>
      </c>
      <c r="G314" s="42" t="n">
        <f aca="false">AK314+MIN(AA314-AK314,MAX(0,'Start Here'!$B$10-SUM($AJ314:$AS314)-SUMPRODUCT(($Z$3:$AI$3&lt;AA$3)*($Z314:$AI314-$AJ314:$AS314))))</f>
        <v>0</v>
      </c>
      <c r="H314" s="42" t="n">
        <f aca="false">AL314+MIN(AB314-AL314,MAX(0,'Start Here'!$B$10-SUM($AJ314:$AS314)-SUMPRODUCT(($Z$3:$AI$3&lt;AB$3)*($Z314:$AI314-$AJ314:$AS314))))</f>
        <v>0</v>
      </c>
      <c r="I314" s="42" t="n">
        <f aca="false">AM314+MIN(AC314-AM314,MAX(0,'Start Here'!$B$10-SUM($AJ314:$AS314)-SUMPRODUCT(($Z$3:$AI$3&lt;AC$3)*($Z314:$AI314-$AJ314:$AS314))))</f>
        <v>0</v>
      </c>
      <c r="J314" s="42" t="n">
        <f aca="false">AN314+MIN(AD314-AN314,MAX(0,'Start Here'!$B$10-SUM($AJ314:$AS314)-SUMPRODUCT(($Z$3:$AI$3&lt;AD$3)*($Z314:$AI314-$AJ314:$AS314))))</f>
        <v>0</v>
      </c>
      <c r="K314" s="42" t="n">
        <f aca="false">AO314+MIN(AE314-AO314,MAX(0,'Start Here'!$B$10-SUM($AJ314:$AS314)-SUMPRODUCT(($Z$3:$AI$3&lt;AE$3)*($Z314:$AI314-$AJ314:$AS314))))</f>
        <v>0</v>
      </c>
      <c r="L314" s="42" t="n">
        <f aca="false">AP314+MIN(AF314-AP314,MAX(0,'Start Here'!$B$10-SUM($AJ314:$AS314)-SUMPRODUCT(($Z$3:$AI$3&lt;AF$3)*($Z314:$AI314-$AJ314:$AS314))))</f>
        <v>0</v>
      </c>
      <c r="M314" s="42" t="n">
        <f aca="false">AQ314+MIN(AG314-AQ314,MAX(0,'Start Here'!$B$10-SUM($AJ314:$AS314)-SUMPRODUCT(($Z$3:$AI$3&lt;AG$3)*($Z314:$AI314-$AJ314:$AS314))))</f>
        <v>0</v>
      </c>
      <c r="N314" s="42" t="n">
        <f aca="false">AR314+MIN(AH314-AR314,MAX(0,'Start Here'!$B$10-SUM($AJ314:$AS314)-SUMPRODUCT(($Z$3:$AI$3&lt;AH$3)*($Z314:$AI314-$AJ314:$AS314))))</f>
        <v>0</v>
      </c>
      <c r="O314" s="42" t="n">
        <f aca="false">AS314+MIN(AI314-AS314,MAX(0,'Start Here'!$B$10-SUM($AJ314:$AS314)-SUMPRODUCT(($Z$3:$AI$3&lt;AI$3)*($Z314:$AI314-$AJ314:$AS314))))</f>
        <v>0</v>
      </c>
      <c r="P314" s="42" t="n">
        <f aca="false">ROUND(Z314-F314,2)</f>
        <v>0</v>
      </c>
      <c r="Q314" s="42" t="n">
        <f aca="false">ROUND(AA314-G314,2)</f>
        <v>0</v>
      </c>
      <c r="R314" s="42" t="n">
        <f aca="false">ROUND(AB314-H314,2)</f>
        <v>0</v>
      </c>
      <c r="S314" s="42" t="n">
        <f aca="false">ROUND(AC314-I314,2)</f>
        <v>0</v>
      </c>
      <c r="T314" s="42" t="n">
        <f aca="false">ROUND(AD314-J314,2)</f>
        <v>0</v>
      </c>
      <c r="U314" s="42" t="n">
        <f aca="false">ROUND(AE314-K314,2)</f>
        <v>0</v>
      </c>
      <c r="V314" s="42" t="n">
        <f aca="false">ROUND(AF314-L314,2)</f>
        <v>0</v>
      </c>
      <c r="W314" s="42" t="n">
        <f aca="false">ROUND(AG314-M314,2)</f>
        <v>0</v>
      </c>
      <c r="X314" s="42" t="n">
        <f aca="false">ROUND(AH314-N314,2)</f>
        <v>0</v>
      </c>
      <c r="Y314" s="42" t="n">
        <f aca="false">ROUND(AI314-O314,2)</f>
        <v>0</v>
      </c>
      <c r="Z314" s="56" t="n">
        <f aca="false">ROUND(P313*(1+N(Debts!$D$5)/12),2)</f>
        <v>0</v>
      </c>
      <c r="AA314" s="56" t="n">
        <f aca="false">ROUND(Q313*(1+N(Debts!$D$6)/12),2)</f>
        <v>0</v>
      </c>
      <c r="AB314" s="56" t="n">
        <f aca="false">ROUND(R313*(1+N(Debts!$D$7)/12),2)</f>
        <v>0</v>
      </c>
      <c r="AC314" s="56" t="n">
        <f aca="false">ROUND(S313*(1+N(Debts!$D$8)/12),2)</f>
        <v>0</v>
      </c>
      <c r="AD314" s="56" t="n">
        <f aca="false">ROUND(T313*(1+N(Debts!$D$9)/12),2)</f>
        <v>0</v>
      </c>
      <c r="AE314" s="56" t="n">
        <f aca="false">ROUND(U313*(1+N(Debts!$D$10)/12),2)</f>
        <v>0</v>
      </c>
      <c r="AF314" s="56" t="n">
        <f aca="false">ROUND(V313*(1+N(Debts!$D$11)/12),2)</f>
        <v>0</v>
      </c>
      <c r="AG314" s="56" t="n">
        <f aca="false">ROUND(W313*(1+N(Debts!$D$12)/12),2)</f>
        <v>0</v>
      </c>
      <c r="AH314" s="56" t="n">
        <f aca="false">ROUND(X313*(1+N(Debts!$D$13)/12),2)</f>
        <v>0</v>
      </c>
      <c r="AI314" s="56" t="n">
        <f aca="false">ROUND(Y313*(1+N(Debts!$D$14)/12),2)</f>
        <v>0</v>
      </c>
      <c r="AJ314" s="56" t="n">
        <f aca="false">MIN(Z314,MAX(0,N(Debts!$E$5)))</f>
        <v>0</v>
      </c>
      <c r="AK314" s="56" t="n">
        <f aca="false">MIN(AA314,MAX(0,N(Debts!$E$6)))</f>
        <v>0</v>
      </c>
      <c r="AL314" s="56" t="n">
        <f aca="false">MIN(AB314,MAX(0,N(Debts!$E$7)))</f>
        <v>0</v>
      </c>
      <c r="AM314" s="56" t="n">
        <f aca="false">MIN(AC314,MAX(0,N(Debts!$E$8)))</f>
        <v>0</v>
      </c>
      <c r="AN314" s="56" t="n">
        <f aca="false">MIN(AD314,MAX(0,N(Debts!$E$9)))</f>
        <v>0</v>
      </c>
      <c r="AO314" s="56" t="n">
        <f aca="false">MIN(AE314,MAX(0,N(Debts!$E$10)))</f>
        <v>0</v>
      </c>
      <c r="AP314" s="56" t="n">
        <f aca="false">MIN(AF314,MAX(0,N(Debts!$E$11)))</f>
        <v>0</v>
      </c>
      <c r="AQ314" s="56" t="n">
        <f aca="false">MIN(AG314,MAX(0,N(Debts!$E$12)))</f>
        <v>0</v>
      </c>
      <c r="AR314" s="56" t="n">
        <f aca="false">MIN(AH314,MAX(0,N(Debts!$E$13)))</f>
        <v>0</v>
      </c>
      <c r="AS314" s="56" t="n">
        <f aca="false">MIN(AI314,MAX(0,N(Debts!$E$14)))</f>
        <v>0</v>
      </c>
    </row>
    <row r="315" customFormat="false" ht="15" hidden="false" customHeight="false" outlineLevel="0" collapsed="false">
      <c r="A315" s="53" t="n">
        <v>311</v>
      </c>
      <c r="B315" s="54" t="n">
        <f aca="false">EDATE('Start Here'!$B$8,310)</f>
        <v>55763</v>
      </c>
      <c r="C315" s="42" t="n">
        <f aca="false">SUM(F315:O315)</f>
        <v>0</v>
      </c>
      <c r="D315" s="42" t="n">
        <f aca="false">ROUND(SUM($Z315:$AI315)-SUM(P314:Y314),2)</f>
        <v>0</v>
      </c>
      <c r="E315" s="55" t="n">
        <f aca="false">SUM(P315:Y315)</f>
        <v>0</v>
      </c>
      <c r="F315" s="42" t="n">
        <f aca="false">AJ315+MIN(Z315-AJ315,MAX(0,'Start Here'!$B$10-SUM($AJ315:$AS315)-SUMPRODUCT(($Z$3:$AI$3&lt;Z$3)*($Z315:$AI315-$AJ315:$AS315))))</f>
        <v>0</v>
      </c>
      <c r="G315" s="42" t="n">
        <f aca="false">AK315+MIN(AA315-AK315,MAX(0,'Start Here'!$B$10-SUM($AJ315:$AS315)-SUMPRODUCT(($Z$3:$AI$3&lt;AA$3)*($Z315:$AI315-$AJ315:$AS315))))</f>
        <v>0</v>
      </c>
      <c r="H315" s="42" t="n">
        <f aca="false">AL315+MIN(AB315-AL315,MAX(0,'Start Here'!$B$10-SUM($AJ315:$AS315)-SUMPRODUCT(($Z$3:$AI$3&lt;AB$3)*($Z315:$AI315-$AJ315:$AS315))))</f>
        <v>0</v>
      </c>
      <c r="I315" s="42" t="n">
        <f aca="false">AM315+MIN(AC315-AM315,MAX(0,'Start Here'!$B$10-SUM($AJ315:$AS315)-SUMPRODUCT(($Z$3:$AI$3&lt;AC$3)*($Z315:$AI315-$AJ315:$AS315))))</f>
        <v>0</v>
      </c>
      <c r="J315" s="42" t="n">
        <f aca="false">AN315+MIN(AD315-AN315,MAX(0,'Start Here'!$B$10-SUM($AJ315:$AS315)-SUMPRODUCT(($Z$3:$AI$3&lt;AD$3)*($Z315:$AI315-$AJ315:$AS315))))</f>
        <v>0</v>
      </c>
      <c r="K315" s="42" t="n">
        <f aca="false">AO315+MIN(AE315-AO315,MAX(0,'Start Here'!$B$10-SUM($AJ315:$AS315)-SUMPRODUCT(($Z$3:$AI$3&lt;AE$3)*($Z315:$AI315-$AJ315:$AS315))))</f>
        <v>0</v>
      </c>
      <c r="L315" s="42" t="n">
        <f aca="false">AP315+MIN(AF315-AP315,MAX(0,'Start Here'!$B$10-SUM($AJ315:$AS315)-SUMPRODUCT(($Z$3:$AI$3&lt;AF$3)*($Z315:$AI315-$AJ315:$AS315))))</f>
        <v>0</v>
      </c>
      <c r="M315" s="42" t="n">
        <f aca="false">AQ315+MIN(AG315-AQ315,MAX(0,'Start Here'!$B$10-SUM($AJ315:$AS315)-SUMPRODUCT(($Z$3:$AI$3&lt;AG$3)*($Z315:$AI315-$AJ315:$AS315))))</f>
        <v>0</v>
      </c>
      <c r="N315" s="42" t="n">
        <f aca="false">AR315+MIN(AH315-AR315,MAX(0,'Start Here'!$B$10-SUM($AJ315:$AS315)-SUMPRODUCT(($Z$3:$AI$3&lt;AH$3)*($Z315:$AI315-$AJ315:$AS315))))</f>
        <v>0</v>
      </c>
      <c r="O315" s="42" t="n">
        <f aca="false">AS315+MIN(AI315-AS315,MAX(0,'Start Here'!$B$10-SUM($AJ315:$AS315)-SUMPRODUCT(($Z$3:$AI$3&lt;AI$3)*($Z315:$AI315-$AJ315:$AS315))))</f>
        <v>0</v>
      </c>
      <c r="P315" s="42" t="n">
        <f aca="false">ROUND(Z315-F315,2)</f>
        <v>0</v>
      </c>
      <c r="Q315" s="42" t="n">
        <f aca="false">ROUND(AA315-G315,2)</f>
        <v>0</v>
      </c>
      <c r="R315" s="42" t="n">
        <f aca="false">ROUND(AB315-H315,2)</f>
        <v>0</v>
      </c>
      <c r="S315" s="42" t="n">
        <f aca="false">ROUND(AC315-I315,2)</f>
        <v>0</v>
      </c>
      <c r="T315" s="42" t="n">
        <f aca="false">ROUND(AD315-J315,2)</f>
        <v>0</v>
      </c>
      <c r="U315" s="42" t="n">
        <f aca="false">ROUND(AE315-K315,2)</f>
        <v>0</v>
      </c>
      <c r="V315" s="42" t="n">
        <f aca="false">ROUND(AF315-L315,2)</f>
        <v>0</v>
      </c>
      <c r="W315" s="42" t="n">
        <f aca="false">ROUND(AG315-M315,2)</f>
        <v>0</v>
      </c>
      <c r="X315" s="42" t="n">
        <f aca="false">ROUND(AH315-N315,2)</f>
        <v>0</v>
      </c>
      <c r="Y315" s="42" t="n">
        <f aca="false">ROUND(AI315-O315,2)</f>
        <v>0</v>
      </c>
      <c r="Z315" s="56" t="n">
        <f aca="false">ROUND(P314*(1+N(Debts!$D$5)/12),2)</f>
        <v>0</v>
      </c>
      <c r="AA315" s="56" t="n">
        <f aca="false">ROUND(Q314*(1+N(Debts!$D$6)/12),2)</f>
        <v>0</v>
      </c>
      <c r="AB315" s="56" t="n">
        <f aca="false">ROUND(R314*(1+N(Debts!$D$7)/12),2)</f>
        <v>0</v>
      </c>
      <c r="AC315" s="56" t="n">
        <f aca="false">ROUND(S314*(1+N(Debts!$D$8)/12),2)</f>
        <v>0</v>
      </c>
      <c r="AD315" s="56" t="n">
        <f aca="false">ROUND(T314*(1+N(Debts!$D$9)/12),2)</f>
        <v>0</v>
      </c>
      <c r="AE315" s="56" t="n">
        <f aca="false">ROUND(U314*(1+N(Debts!$D$10)/12),2)</f>
        <v>0</v>
      </c>
      <c r="AF315" s="56" t="n">
        <f aca="false">ROUND(V314*(1+N(Debts!$D$11)/12),2)</f>
        <v>0</v>
      </c>
      <c r="AG315" s="56" t="n">
        <f aca="false">ROUND(W314*(1+N(Debts!$D$12)/12),2)</f>
        <v>0</v>
      </c>
      <c r="AH315" s="56" t="n">
        <f aca="false">ROUND(X314*(1+N(Debts!$D$13)/12),2)</f>
        <v>0</v>
      </c>
      <c r="AI315" s="56" t="n">
        <f aca="false">ROUND(Y314*(1+N(Debts!$D$14)/12),2)</f>
        <v>0</v>
      </c>
      <c r="AJ315" s="56" t="n">
        <f aca="false">MIN(Z315,MAX(0,N(Debts!$E$5)))</f>
        <v>0</v>
      </c>
      <c r="AK315" s="56" t="n">
        <f aca="false">MIN(AA315,MAX(0,N(Debts!$E$6)))</f>
        <v>0</v>
      </c>
      <c r="AL315" s="56" t="n">
        <f aca="false">MIN(AB315,MAX(0,N(Debts!$E$7)))</f>
        <v>0</v>
      </c>
      <c r="AM315" s="56" t="n">
        <f aca="false">MIN(AC315,MAX(0,N(Debts!$E$8)))</f>
        <v>0</v>
      </c>
      <c r="AN315" s="56" t="n">
        <f aca="false">MIN(AD315,MAX(0,N(Debts!$E$9)))</f>
        <v>0</v>
      </c>
      <c r="AO315" s="56" t="n">
        <f aca="false">MIN(AE315,MAX(0,N(Debts!$E$10)))</f>
        <v>0</v>
      </c>
      <c r="AP315" s="56" t="n">
        <f aca="false">MIN(AF315,MAX(0,N(Debts!$E$11)))</f>
        <v>0</v>
      </c>
      <c r="AQ315" s="56" t="n">
        <f aca="false">MIN(AG315,MAX(0,N(Debts!$E$12)))</f>
        <v>0</v>
      </c>
      <c r="AR315" s="56" t="n">
        <f aca="false">MIN(AH315,MAX(0,N(Debts!$E$13)))</f>
        <v>0</v>
      </c>
      <c r="AS315" s="56" t="n">
        <f aca="false">MIN(AI315,MAX(0,N(Debts!$E$14)))</f>
        <v>0</v>
      </c>
    </row>
    <row r="316" customFormat="false" ht="15" hidden="false" customHeight="false" outlineLevel="0" collapsed="false">
      <c r="A316" s="53" t="n">
        <v>312</v>
      </c>
      <c r="B316" s="54" t="n">
        <f aca="false">EDATE('Start Here'!$B$8,311)</f>
        <v>55793</v>
      </c>
      <c r="C316" s="42" t="n">
        <f aca="false">SUM(F316:O316)</f>
        <v>0</v>
      </c>
      <c r="D316" s="42" t="n">
        <f aca="false">ROUND(SUM($Z316:$AI316)-SUM(P315:Y315),2)</f>
        <v>0</v>
      </c>
      <c r="E316" s="55" t="n">
        <f aca="false">SUM(P316:Y316)</f>
        <v>0</v>
      </c>
      <c r="F316" s="42" t="n">
        <f aca="false">AJ316+MIN(Z316-AJ316,MAX(0,'Start Here'!$B$10-SUM($AJ316:$AS316)-SUMPRODUCT(($Z$3:$AI$3&lt;Z$3)*($Z316:$AI316-$AJ316:$AS316))))</f>
        <v>0</v>
      </c>
      <c r="G316" s="42" t="n">
        <f aca="false">AK316+MIN(AA316-AK316,MAX(0,'Start Here'!$B$10-SUM($AJ316:$AS316)-SUMPRODUCT(($Z$3:$AI$3&lt;AA$3)*($Z316:$AI316-$AJ316:$AS316))))</f>
        <v>0</v>
      </c>
      <c r="H316" s="42" t="n">
        <f aca="false">AL316+MIN(AB316-AL316,MAX(0,'Start Here'!$B$10-SUM($AJ316:$AS316)-SUMPRODUCT(($Z$3:$AI$3&lt;AB$3)*($Z316:$AI316-$AJ316:$AS316))))</f>
        <v>0</v>
      </c>
      <c r="I316" s="42" t="n">
        <f aca="false">AM316+MIN(AC316-AM316,MAX(0,'Start Here'!$B$10-SUM($AJ316:$AS316)-SUMPRODUCT(($Z$3:$AI$3&lt;AC$3)*($Z316:$AI316-$AJ316:$AS316))))</f>
        <v>0</v>
      </c>
      <c r="J316" s="42" t="n">
        <f aca="false">AN316+MIN(AD316-AN316,MAX(0,'Start Here'!$B$10-SUM($AJ316:$AS316)-SUMPRODUCT(($Z$3:$AI$3&lt;AD$3)*($Z316:$AI316-$AJ316:$AS316))))</f>
        <v>0</v>
      </c>
      <c r="K316" s="42" t="n">
        <f aca="false">AO316+MIN(AE316-AO316,MAX(0,'Start Here'!$B$10-SUM($AJ316:$AS316)-SUMPRODUCT(($Z$3:$AI$3&lt;AE$3)*($Z316:$AI316-$AJ316:$AS316))))</f>
        <v>0</v>
      </c>
      <c r="L316" s="42" t="n">
        <f aca="false">AP316+MIN(AF316-AP316,MAX(0,'Start Here'!$B$10-SUM($AJ316:$AS316)-SUMPRODUCT(($Z$3:$AI$3&lt;AF$3)*($Z316:$AI316-$AJ316:$AS316))))</f>
        <v>0</v>
      </c>
      <c r="M316" s="42" t="n">
        <f aca="false">AQ316+MIN(AG316-AQ316,MAX(0,'Start Here'!$B$10-SUM($AJ316:$AS316)-SUMPRODUCT(($Z$3:$AI$3&lt;AG$3)*($Z316:$AI316-$AJ316:$AS316))))</f>
        <v>0</v>
      </c>
      <c r="N316" s="42" t="n">
        <f aca="false">AR316+MIN(AH316-AR316,MAX(0,'Start Here'!$B$10-SUM($AJ316:$AS316)-SUMPRODUCT(($Z$3:$AI$3&lt;AH$3)*($Z316:$AI316-$AJ316:$AS316))))</f>
        <v>0</v>
      </c>
      <c r="O316" s="42" t="n">
        <f aca="false">AS316+MIN(AI316-AS316,MAX(0,'Start Here'!$B$10-SUM($AJ316:$AS316)-SUMPRODUCT(($Z$3:$AI$3&lt;AI$3)*($Z316:$AI316-$AJ316:$AS316))))</f>
        <v>0</v>
      </c>
      <c r="P316" s="42" t="n">
        <f aca="false">ROUND(Z316-F316,2)</f>
        <v>0</v>
      </c>
      <c r="Q316" s="42" t="n">
        <f aca="false">ROUND(AA316-G316,2)</f>
        <v>0</v>
      </c>
      <c r="R316" s="42" t="n">
        <f aca="false">ROUND(AB316-H316,2)</f>
        <v>0</v>
      </c>
      <c r="S316" s="42" t="n">
        <f aca="false">ROUND(AC316-I316,2)</f>
        <v>0</v>
      </c>
      <c r="T316" s="42" t="n">
        <f aca="false">ROUND(AD316-J316,2)</f>
        <v>0</v>
      </c>
      <c r="U316" s="42" t="n">
        <f aca="false">ROUND(AE316-K316,2)</f>
        <v>0</v>
      </c>
      <c r="V316" s="42" t="n">
        <f aca="false">ROUND(AF316-L316,2)</f>
        <v>0</v>
      </c>
      <c r="W316" s="42" t="n">
        <f aca="false">ROUND(AG316-M316,2)</f>
        <v>0</v>
      </c>
      <c r="X316" s="42" t="n">
        <f aca="false">ROUND(AH316-N316,2)</f>
        <v>0</v>
      </c>
      <c r="Y316" s="42" t="n">
        <f aca="false">ROUND(AI316-O316,2)</f>
        <v>0</v>
      </c>
      <c r="Z316" s="56" t="n">
        <f aca="false">ROUND(P315*(1+N(Debts!$D$5)/12),2)</f>
        <v>0</v>
      </c>
      <c r="AA316" s="56" t="n">
        <f aca="false">ROUND(Q315*(1+N(Debts!$D$6)/12),2)</f>
        <v>0</v>
      </c>
      <c r="AB316" s="56" t="n">
        <f aca="false">ROUND(R315*(1+N(Debts!$D$7)/12),2)</f>
        <v>0</v>
      </c>
      <c r="AC316" s="56" t="n">
        <f aca="false">ROUND(S315*(1+N(Debts!$D$8)/12),2)</f>
        <v>0</v>
      </c>
      <c r="AD316" s="56" t="n">
        <f aca="false">ROUND(T315*(1+N(Debts!$D$9)/12),2)</f>
        <v>0</v>
      </c>
      <c r="AE316" s="56" t="n">
        <f aca="false">ROUND(U315*(1+N(Debts!$D$10)/12),2)</f>
        <v>0</v>
      </c>
      <c r="AF316" s="56" t="n">
        <f aca="false">ROUND(V315*(1+N(Debts!$D$11)/12),2)</f>
        <v>0</v>
      </c>
      <c r="AG316" s="56" t="n">
        <f aca="false">ROUND(W315*(1+N(Debts!$D$12)/12),2)</f>
        <v>0</v>
      </c>
      <c r="AH316" s="56" t="n">
        <f aca="false">ROUND(X315*(1+N(Debts!$D$13)/12),2)</f>
        <v>0</v>
      </c>
      <c r="AI316" s="56" t="n">
        <f aca="false">ROUND(Y315*(1+N(Debts!$D$14)/12),2)</f>
        <v>0</v>
      </c>
      <c r="AJ316" s="56" t="n">
        <f aca="false">MIN(Z316,MAX(0,N(Debts!$E$5)))</f>
        <v>0</v>
      </c>
      <c r="AK316" s="56" t="n">
        <f aca="false">MIN(AA316,MAX(0,N(Debts!$E$6)))</f>
        <v>0</v>
      </c>
      <c r="AL316" s="56" t="n">
        <f aca="false">MIN(AB316,MAX(0,N(Debts!$E$7)))</f>
        <v>0</v>
      </c>
      <c r="AM316" s="56" t="n">
        <f aca="false">MIN(AC316,MAX(0,N(Debts!$E$8)))</f>
        <v>0</v>
      </c>
      <c r="AN316" s="56" t="n">
        <f aca="false">MIN(AD316,MAX(0,N(Debts!$E$9)))</f>
        <v>0</v>
      </c>
      <c r="AO316" s="56" t="n">
        <f aca="false">MIN(AE316,MAX(0,N(Debts!$E$10)))</f>
        <v>0</v>
      </c>
      <c r="AP316" s="56" t="n">
        <f aca="false">MIN(AF316,MAX(0,N(Debts!$E$11)))</f>
        <v>0</v>
      </c>
      <c r="AQ316" s="56" t="n">
        <f aca="false">MIN(AG316,MAX(0,N(Debts!$E$12)))</f>
        <v>0</v>
      </c>
      <c r="AR316" s="56" t="n">
        <f aca="false">MIN(AH316,MAX(0,N(Debts!$E$13)))</f>
        <v>0</v>
      </c>
      <c r="AS316" s="56" t="n">
        <f aca="false">MIN(AI316,MAX(0,N(Debts!$E$14)))</f>
        <v>0</v>
      </c>
    </row>
    <row r="317" customFormat="false" ht="15" hidden="false" customHeight="false" outlineLevel="0" collapsed="false">
      <c r="A317" s="53" t="n">
        <v>313</v>
      </c>
      <c r="B317" s="54" t="n">
        <f aca="false">EDATE('Start Here'!$B$8,312)</f>
        <v>55824</v>
      </c>
      <c r="C317" s="42" t="n">
        <f aca="false">SUM(F317:O317)</f>
        <v>0</v>
      </c>
      <c r="D317" s="42" t="n">
        <f aca="false">ROUND(SUM($Z317:$AI317)-SUM(P316:Y316),2)</f>
        <v>0</v>
      </c>
      <c r="E317" s="55" t="n">
        <f aca="false">SUM(P317:Y317)</f>
        <v>0</v>
      </c>
      <c r="F317" s="42" t="n">
        <f aca="false">AJ317+MIN(Z317-AJ317,MAX(0,'Start Here'!$B$10-SUM($AJ317:$AS317)-SUMPRODUCT(($Z$3:$AI$3&lt;Z$3)*($Z317:$AI317-$AJ317:$AS317))))</f>
        <v>0</v>
      </c>
      <c r="G317" s="42" t="n">
        <f aca="false">AK317+MIN(AA317-AK317,MAX(0,'Start Here'!$B$10-SUM($AJ317:$AS317)-SUMPRODUCT(($Z$3:$AI$3&lt;AA$3)*($Z317:$AI317-$AJ317:$AS317))))</f>
        <v>0</v>
      </c>
      <c r="H317" s="42" t="n">
        <f aca="false">AL317+MIN(AB317-AL317,MAX(0,'Start Here'!$B$10-SUM($AJ317:$AS317)-SUMPRODUCT(($Z$3:$AI$3&lt;AB$3)*($Z317:$AI317-$AJ317:$AS317))))</f>
        <v>0</v>
      </c>
      <c r="I317" s="42" t="n">
        <f aca="false">AM317+MIN(AC317-AM317,MAX(0,'Start Here'!$B$10-SUM($AJ317:$AS317)-SUMPRODUCT(($Z$3:$AI$3&lt;AC$3)*($Z317:$AI317-$AJ317:$AS317))))</f>
        <v>0</v>
      </c>
      <c r="J317" s="42" t="n">
        <f aca="false">AN317+MIN(AD317-AN317,MAX(0,'Start Here'!$B$10-SUM($AJ317:$AS317)-SUMPRODUCT(($Z$3:$AI$3&lt;AD$3)*($Z317:$AI317-$AJ317:$AS317))))</f>
        <v>0</v>
      </c>
      <c r="K317" s="42" t="n">
        <f aca="false">AO317+MIN(AE317-AO317,MAX(0,'Start Here'!$B$10-SUM($AJ317:$AS317)-SUMPRODUCT(($Z$3:$AI$3&lt;AE$3)*($Z317:$AI317-$AJ317:$AS317))))</f>
        <v>0</v>
      </c>
      <c r="L317" s="42" t="n">
        <f aca="false">AP317+MIN(AF317-AP317,MAX(0,'Start Here'!$B$10-SUM($AJ317:$AS317)-SUMPRODUCT(($Z$3:$AI$3&lt;AF$3)*($Z317:$AI317-$AJ317:$AS317))))</f>
        <v>0</v>
      </c>
      <c r="M317" s="42" t="n">
        <f aca="false">AQ317+MIN(AG317-AQ317,MAX(0,'Start Here'!$B$10-SUM($AJ317:$AS317)-SUMPRODUCT(($Z$3:$AI$3&lt;AG$3)*($Z317:$AI317-$AJ317:$AS317))))</f>
        <v>0</v>
      </c>
      <c r="N317" s="42" t="n">
        <f aca="false">AR317+MIN(AH317-AR317,MAX(0,'Start Here'!$B$10-SUM($AJ317:$AS317)-SUMPRODUCT(($Z$3:$AI$3&lt;AH$3)*($Z317:$AI317-$AJ317:$AS317))))</f>
        <v>0</v>
      </c>
      <c r="O317" s="42" t="n">
        <f aca="false">AS317+MIN(AI317-AS317,MAX(0,'Start Here'!$B$10-SUM($AJ317:$AS317)-SUMPRODUCT(($Z$3:$AI$3&lt;AI$3)*($Z317:$AI317-$AJ317:$AS317))))</f>
        <v>0</v>
      </c>
      <c r="P317" s="42" t="n">
        <f aca="false">ROUND(Z317-F317,2)</f>
        <v>0</v>
      </c>
      <c r="Q317" s="42" t="n">
        <f aca="false">ROUND(AA317-G317,2)</f>
        <v>0</v>
      </c>
      <c r="R317" s="42" t="n">
        <f aca="false">ROUND(AB317-H317,2)</f>
        <v>0</v>
      </c>
      <c r="S317" s="42" t="n">
        <f aca="false">ROUND(AC317-I317,2)</f>
        <v>0</v>
      </c>
      <c r="T317" s="42" t="n">
        <f aca="false">ROUND(AD317-J317,2)</f>
        <v>0</v>
      </c>
      <c r="U317" s="42" t="n">
        <f aca="false">ROUND(AE317-K317,2)</f>
        <v>0</v>
      </c>
      <c r="V317" s="42" t="n">
        <f aca="false">ROUND(AF317-L317,2)</f>
        <v>0</v>
      </c>
      <c r="W317" s="42" t="n">
        <f aca="false">ROUND(AG317-M317,2)</f>
        <v>0</v>
      </c>
      <c r="X317" s="42" t="n">
        <f aca="false">ROUND(AH317-N317,2)</f>
        <v>0</v>
      </c>
      <c r="Y317" s="42" t="n">
        <f aca="false">ROUND(AI317-O317,2)</f>
        <v>0</v>
      </c>
      <c r="Z317" s="56" t="n">
        <f aca="false">ROUND(P316*(1+N(Debts!$D$5)/12),2)</f>
        <v>0</v>
      </c>
      <c r="AA317" s="56" t="n">
        <f aca="false">ROUND(Q316*(1+N(Debts!$D$6)/12),2)</f>
        <v>0</v>
      </c>
      <c r="AB317" s="56" t="n">
        <f aca="false">ROUND(R316*(1+N(Debts!$D$7)/12),2)</f>
        <v>0</v>
      </c>
      <c r="AC317" s="56" t="n">
        <f aca="false">ROUND(S316*(1+N(Debts!$D$8)/12),2)</f>
        <v>0</v>
      </c>
      <c r="AD317" s="56" t="n">
        <f aca="false">ROUND(T316*(1+N(Debts!$D$9)/12),2)</f>
        <v>0</v>
      </c>
      <c r="AE317" s="56" t="n">
        <f aca="false">ROUND(U316*(1+N(Debts!$D$10)/12),2)</f>
        <v>0</v>
      </c>
      <c r="AF317" s="56" t="n">
        <f aca="false">ROUND(V316*(1+N(Debts!$D$11)/12),2)</f>
        <v>0</v>
      </c>
      <c r="AG317" s="56" t="n">
        <f aca="false">ROUND(W316*(1+N(Debts!$D$12)/12),2)</f>
        <v>0</v>
      </c>
      <c r="AH317" s="56" t="n">
        <f aca="false">ROUND(X316*(1+N(Debts!$D$13)/12),2)</f>
        <v>0</v>
      </c>
      <c r="AI317" s="56" t="n">
        <f aca="false">ROUND(Y316*(1+N(Debts!$D$14)/12),2)</f>
        <v>0</v>
      </c>
      <c r="AJ317" s="56" t="n">
        <f aca="false">MIN(Z317,MAX(0,N(Debts!$E$5)))</f>
        <v>0</v>
      </c>
      <c r="AK317" s="56" t="n">
        <f aca="false">MIN(AA317,MAX(0,N(Debts!$E$6)))</f>
        <v>0</v>
      </c>
      <c r="AL317" s="56" t="n">
        <f aca="false">MIN(AB317,MAX(0,N(Debts!$E$7)))</f>
        <v>0</v>
      </c>
      <c r="AM317" s="56" t="n">
        <f aca="false">MIN(AC317,MAX(0,N(Debts!$E$8)))</f>
        <v>0</v>
      </c>
      <c r="AN317" s="56" t="n">
        <f aca="false">MIN(AD317,MAX(0,N(Debts!$E$9)))</f>
        <v>0</v>
      </c>
      <c r="AO317" s="56" t="n">
        <f aca="false">MIN(AE317,MAX(0,N(Debts!$E$10)))</f>
        <v>0</v>
      </c>
      <c r="AP317" s="56" t="n">
        <f aca="false">MIN(AF317,MAX(0,N(Debts!$E$11)))</f>
        <v>0</v>
      </c>
      <c r="AQ317" s="56" t="n">
        <f aca="false">MIN(AG317,MAX(0,N(Debts!$E$12)))</f>
        <v>0</v>
      </c>
      <c r="AR317" s="56" t="n">
        <f aca="false">MIN(AH317,MAX(0,N(Debts!$E$13)))</f>
        <v>0</v>
      </c>
      <c r="AS317" s="56" t="n">
        <f aca="false">MIN(AI317,MAX(0,N(Debts!$E$14)))</f>
        <v>0</v>
      </c>
    </row>
    <row r="318" customFormat="false" ht="15" hidden="false" customHeight="false" outlineLevel="0" collapsed="false">
      <c r="A318" s="53" t="n">
        <v>314</v>
      </c>
      <c r="B318" s="54" t="n">
        <f aca="false">EDATE('Start Here'!$B$8,313)</f>
        <v>55854</v>
      </c>
      <c r="C318" s="42" t="n">
        <f aca="false">SUM(F318:O318)</f>
        <v>0</v>
      </c>
      <c r="D318" s="42" t="n">
        <f aca="false">ROUND(SUM($Z318:$AI318)-SUM(P317:Y317),2)</f>
        <v>0</v>
      </c>
      <c r="E318" s="55" t="n">
        <f aca="false">SUM(P318:Y318)</f>
        <v>0</v>
      </c>
      <c r="F318" s="42" t="n">
        <f aca="false">AJ318+MIN(Z318-AJ318,MAX(0,'Start Here'!$B$10-SUM($AJ318:$AS318)-SUMPRODUCT(($Z$3:$AI$3&lt;Z$3)*($Z318:$AI318-$AJ318:$AS318))))</f>
        <v>0</v>
      </c>
      <c r="G318" s="42" t="n">
        <f aca="false">AK318+MIN(AA318-AK318,MAX(0,'Start Here'!$B$10-SUM($AJ318:$AS318)-SUMPRODUCT(($Z$3:$AI$3&lt;AA$3)*($Z318:$AI318-$AJ318:$AS318))))</f>
        <v>0</v>
      </c>
      <c r="H318" s="42" t="n">
        <f aca="false">AL318+MIN(AB318-AL318,MAX(0,'Start Here'!$B$10-SUM($AJ318:$AS318)-SUMPRODUCT(($Z$3:$AI$3&lt;AB$3)*($Z318:$AI318-$AJ318:$AS318))))</f>
        <v>0</v>
      </c>
      <c r="I318" s="42" t="n">
        <f aca="false">AM318+MIN(AC318-AM318,MAX(0,'Start Here'!$B$10-SUM($AJ318:$AS318)-SUMPRODUCT(($Z$3:$AI$3&lt;AC$3)*($Z318:$AI318-$AJ318:$AS318))))</f>
        <v>0</v>
      </c>
      <c r="J318" s="42" t="n">
        <f aca="false">AN318+MIN(AD318-AN318,MAX(0,'Start Here'!$B$10-SUM($AJ318:$AS318)-SUMPRODUCT(($Z$3:$AI$3&lt;AD$3)*($Z318:$AI318-$AJ318:$AS318))))</f>
        <v>0</v>
      </c>
      <c r="K318" s="42" t="n">
        <f aca="false">AO318+MIN(AE318-AO318,MAX(0,'Start Here'!$B$10-SUM($AJ318:$AS318)-SUMPRODUCT(($Z$3:$AI$3&lt;AE$3)*($Z318:$AI318-$AJ318:$AS318))))</f>
        <v>0</v>
      </c>
      <c r="L318" s="42" t="n">
        <f aca="false">AP318+MIN(AF318-AP318,MAX(0,'Start Here'!$B$10-SUM($AJ318:$AS318)-SUMPRODUCT(($Z$3:$AI$3&lt;AF$3)*($Z318:$AI318-$AJ318:$AS318))))</f>
        <v>0</v>
      </c>
      <c r="M318" s="42" t="n">
        <f aca="false">AQ318+MIN(AG318-AQ318,MAX(0,'Start Here'!$B$10-SUM($AJ318:$AS318)-SUMPRODUCT(($Z$3:$AI$3&lt;AG$3)*($Z318:$AI318-$AJ318:$AS318))))</f>
        <v>0</v>
      </c>
      <c r="N318" s="42" t="n">
        <f aca="false">AR318+MIN(AH318-AR318,MAX(0,'Start Here'!$B$10-SUM($AJ318:$AS318)-SUMPRODUCT(($Z$3:$AI$3&lt;AH$3)*($Z318:$AI318-$AJ318:$AS318))))</f>
        <v>0</v>
      </c>
      <c r="O318" s="42" t="n">
        <f aca="false">AS318+MIN(AI318-AS318,MAX(0,'Start Here'!$B$10-SUM($AJ318:$AS318)-SUMPRODUCT(($Z$3:$AI$3&lt;AI$3)*($Z318:$AI318-$AJ318:$AS318))))</f>
        <v>0</v>
      </c>
      <c r="P318" s="42" t="n">
        <f aca="false">ROUND(Z318-F318,2)</f>
        <v>0</v>
      </c>
      <c r="Q318" s="42" t="n">
        <f aca="false">ROUND(AA318-G318,2)</f>
        <v>0</v>
      </c>
      <c r="R318" s="42" t="n">
        <f aca="false">ROUND(AB318-H318,2)</f>
        <v>0</v>
      </c>
      <c r="S318" s="42" t="n">
        <f aca="false">ROUND(AC318-I318,2)</f>
        <v>0</v>
      </c>
      <c r="T318" s="42" t="n">
        <f aca="false">ROUND(AD318-J318,2)</f>
        <v>0</v>
      </c>
      <c r="U318" s="42" t="n">
        <f aca="false">ROUND(AE318-K318,2)</f>
        <v>0</v>
      </c>
      <c r="V318" s="42" t="n">
        <f aca="false">ROUND(AF318-L318,2)</f>
        <v>0</v>
      </c>
      <c r="W318" s="42" t="n">
        <f aca="false">ROUND(AG318-M318,2)</f>
        <v>0</v>
      </c>
      <c r="X318" s="42" t="n">
        <f aca="false">ROUND(AH318-N318,2)</f>
        <v>0</v>
      </c>
      <c r="Y318" s="42" t="n">
        <f aca="false">ROUND(AI318-O318,2)</f>
        <v>0</v>
      </c>
      <c r="Z318" s="56" t="n">
        <f aca="false">ROUND(P317*(1+N(Debts!$D$5)/12),2)</f>
        <v>0</v>
      </c>
      <c r="AA318" s="56" t="n">
        <f aca="false">ROUND(Q317*(1+N(Debts!$D$6)/12),2)</f>
        <v>0</v>
      </c>
      <c r="AB318" s="56" t="n">
        <f aca="false">ROUND(R317*(1+N(Debts!$D$7)/12),2)</f>
        <v>0</v>
      </c>
      <c r="AC318" s="56" t="n">
        <f aca="false">ROUND(S317*(1+N(Debts!$D$8)/12),2)</f>
        <v>0</v>
      </c>
      <c r="AD318" s="56" t="n">
        <f aca="false">ROUND(T317*(1+N(Debts!$D$9)/12),2)</f>
        <v>0</v>
      </c>
      <c r="AE318" s="56" t="n">
        <f aca="false">ROUND(U317*(1+N(Debts!$D$10)/12),2)</f>
        <v>0</v>
      </c>
      <c r="AF318" s="56" t="n">
        <f aca="false">ROUND(V317*(1+N(Debts!$D$11)/12),2)</f>
        <v>0</v>
      </c>
      <c r="AG318" s="56" t="n">
        <f aca="false">ROUND(W317*(1+N(Debts!$D$12)/12),2)</f>
        <v>0</v>
      </c>
      <c r="AH318" s="56" t="n">
        <f aca="false">ROUND(X317*(1+N(Debts!$D$13)/12),2)</f>
        <v>0</v>
      </c>
      <c r="AI318" s="56" t="n">
        <f aca="false">ROUND(Y317*(1+N(Debts!$D$14)/12),2)</f>
        <v>0</v>
      </c>
      <c r="AJ318" s="56" t="n">
        <f aca="false">MIN(Z318,MAX(0,N(Debts!$E$5)))</f>
        <v>0</v>
      </c>
      <c r="AK318" s="56" t="n">
        <f aca="false">MIN(AA318,MAX(0,N(Debts!$E$6)))</f>
        <v>0</v>
      </c>
      <c r="AL318" s="56" t="n">
        <f aca="false">MIN(AB318,MAX(0,N(Debts!$E$7)))</f>
        <v>0</v>
      </c>
      <c r="AM318" s="56" t="n">
        <f aca="false">MIN(AC318,MAX(0,N(Debts!$E$8)))</f>
        <v>0</v>
      </c>
      <c r="AN318" s="56" t="n">
        <f aca="false">MIN(AD318,MAX(0,N(Debts!$E$9)))</f>
        <v>0</v>
      </c>
      <c r="AO318" s="56" t="n">
        <f aca="false">MIN(AE318,MAX(0,N(Debts!$E$10)))</f>
        <v>0</v>
      </c>
      <c r="AP318" s="56" t="n">
        <f aca="false">MIN(AF318,MAX(0,N(Debts!$E$11)))</f>
        <v>0</v>
      </c>
      <c r="AQ318" s="56" t="n">
        <f aca="false">MIN(AG318,MAX(0,N(Debts!$E$12)))</f>
        <v>0</v>
      </c>
      <c r="AR318" s="56" t="n">
        <f aca="false">MIN(AH318,MAX(0,N(Debts!$E$13)))</f>
        <v>0</v>
      </c>
      <c r="AS318" s="56" t="n">
        <f aca="false">MIN(AI318,MAX(0,N(Debts!$E$14)))</f>
        <v>0</v>
      </c>
    </row>
    <row r="319" customFormat="false" ht="15" hidden="false" customHeight="false" outlineLevel="0" collapsed="false">
      <c r="A319" s="53" t="n">
        <v>315</v>
      </c>
      <c r="B319" s="54" t="n">
        <f aca="false">EDATE('Start Here'!$B$8,314)</f>
        <v>55885</v>
      </c>
      <c r="C319" s="42" t="n">
        <f aca="false">SUM(F319:O319)</f>
        <v>0</v>
      </c>
      <c r="D319" s="42" t="n">
        <f aca="false">ROUND(SUM($Z319:$AI319)-SUM(P318:Y318),2)</f>
        <v>0</v>
      </c>
      <c r="E319" s="55" t="n">
        <f aca="false">SUM(P319:Y319)</f>
        <v>0</v>
      </c>
      <c r="F319" s="42" t="n">
        <f aca="false">AJ319+MIN(Z319-AJ319,MAX(0,'Start Here'!$B$10-SUM($AJ319:$AS319)-SUMPRODUCT(($Z$3:$AI$3&lt;Z$3)*($Z319:$AI319-$AJ319:$AS319))))</f>
        <v>0</v>
      </c>
      <c r="G319" s="42" t="n">
        <f aca="false">AK319+MIN(AA319-AK319,MAX(0,'Start Here'!$B$10-SUM($AJ319:$AS319)-SUMPRODUCT(($Z$3:$AI$3&lt;AA$3)*($Z319:$AI319-$AJ319:$AS319))))</f>
        <v>0</v>
      </c>
      <c r="H319" s="42" t="n">
        <f aca="false">AL319+MIN(AB319-AL319,MAX(0,'Start Here'!$B$10-SUM($AJ319:$AS319)-SUMPRODUCT(($Z$3:$AI$3&lt;AB$3)*($Z319:$AI319-$AJ319:$AS319))))</f>
        <v>0</v>
      </c>
      <c r="I319" s="42" t="n">
        <f aca="false">AM319+MIN(AC319-AM319,MAX(0,'Start Here'!$B$10-SUM($AJ319:$AS319)-SUMPRODUCT(($Z$3:$AI$3&lt;AC$3)*($Z319:$AI319-$AJ319:$AS319))))</f>
        <v>0</v>
      </c>
      <c r="J319" s="42" t="n">
        <f aca="false">AN319+MIN(AD319-AN319,MAX(0,'Start Here'!$B$10-SUM($AJ319:$AS319)-SUMPRODUCT(($Z$3:$AI$3&lt;AD$3)*($Z319:$AI319-$AJ319:$AS319))))</f>
        <v>0</v>
      </c>
      <c r="K319" s="42" t="n">
        <f aca="false">AO319+MIN(AE319-AO319,MAX(0,'Start Here'!$B$10-SUM($AJ319:$AS319)-SUMPRODUCT(($Z$3:$AI$3&lt;AE$3)*($Z319:$AI319-$AJ319:$AS319))))</f>
        <v>0</v>
      </c>
      <c r="L319" s="42" t="n">
        <f aca="false">AP319+MIN(AF319-AP319,MAX(0,'Start Here'!$B$10-SUM($AJ319:$AS319)-SUMPRODUCT(($Z$3:$AI$3&lt;AF$3)*($Z319:$AI319-$AJ319:$AS319))))</f>
        <v>0</v>
      </c>
      <c r="M319" s="42" t="n">
        <f aca="false">AQ319+MIN(AG319-AQ319,MAX(0,'Start Here'!$B$10-SUM($AJ319:$AS319)-SUMPRODUCT(($Z$3:$AI$3&lt;AG$3)*($Z319:$AI319-$AJ319:$AS319))))</f>
        <v>0</v>
      </c>
      <c r="N319" s="42" t="n">
        <f aca="false">AR319+MIN(AH319-AR319,MAX(0,'Start Here'!$B$10-SUM($AJ319:$AS319)-SUMPRODUCT(($Z$3:$AI$3&lt;AH$3)*($Z319:$AI319-$AJ319:$AS319))))</f>
        <v>0</v>
      </c>
      <c r="O319" s="42" t="n">
        <f aca="false">AS319+MIN(AI319-AS319,MAX(0,'Start Here'!$B$10-SUM($AJ319:$AS319)-SUMPRODUCT(($Z$3:$AI$3&lt;AI$3)*($Z319:$AI319-$AJ319:$AS319))))</f>
        <v>0</v>
      </c>
      <c r="P319" s="42" t="n">
        <f aca="false">ROUND(Z319-F319,2)</f>
        <v>0</v>
      </c>
      <c r="Q319" s="42" t="n">
        <f aca="false">ROUND(AA319-G319,2)</f>
        <v>0</v>
      </c>
      <c r="R319" s="42" t="n">
        <f aca="false">ROUND(AB319-H319,2)</f>
        <v>0</v>
      </c>
      <c r="S319" s="42" t="n">
        <f aca="false">ROUND(AC319-I319,2)</f>
        <v>0</v>
      </c>
      <c r="T319" s="42" t="n">
        <f aca="false">ROUND(AD319-J319,2)</f>
        <v>0</v>
      </c>
      <c r="U319" s="42" t="n">
        <f aca="false">ROUND(AE319-K319,2)</f>
        <v>0</v>
      </c>
      <c r="V319" s="42" t="n">
        <f aca="false">ROUND(AF319-L319,2)</f>
        <v>0</v>
      </c>
      <c r="W319" s="42" t="n">
        <f aca="false">ROUND(AG319-M319,2)</f>
        <v>0</v>
      </c>
      <c r="X319" s="42" t="n">
        <f aca="false">ROUND(AH319-N319,2)</f>
        <v>0</v>
      </c>
      <c r="Y319" s="42" t="n">
        <f aca="false">ROUND(AI319-O319,2)</f>
        <v>0</v>
      </c>
      <c r="Z319" s="56" t="n">
        <f aca="false">ROUND(P318*(1+N(Debts!$D$5)/12),2)</f>
        <v>0</v>
      </c>
      <c r="AA319" s="56" t="n">
        <f aca="false">ROUND(Q318*(1+N(Debts!$D$6)/12),2)</f>
        <v>0</v>
      </c>
      <c r="AB319" s="56" t="n">
        <f aca="false">ROUND(R318*(1+N(Debts!$D$7)/12),2)</f>
        <v>0</v>
      </c>
      <c r="AC319" s="56" t="n">
        <f aca="false">ROUND(S318*(1+N(Debts!$D$8)/12),2)</f>
        <v>0</v>
      </c>
      <c r="AD319" s="56" t="n">
        <f aca="false">ROUND(T318*(1+N(Debts!$D$9)/12),2)</f>
        <v>0</v>
      </c>
      <c r="AE319" s="56" t="n">
        <f aca="false">ROUND(U318*(1+N(Debts!$D$10)/12),2)</f>
        <v>0</v>
      </c>
      <c r="AF319" s="56" t="n">
        <f aca="false">ROUND(V318*(1+N(Debts!$D$11)/12),2)</f>
        <v>0</v>
      </c>
      <c r="AG319" s="56" t="n">
        <f aca="false">ROUND(W318*(1+N(Debts!$D$12)/12),2)</f>
        <v>0</v>
      </c>
      <c r="AH319" s="56" t="n">
        <f aca="false">ROUND(X318*(1+N(Debts!$D$13)/12),2)</f>
        <v>0</v>
      </c>
      <c r="AI319" s="56" t="n">
        <f aca="false">ROUND(Y318*(1+N(Debts!$D$14)/12),2)</f>
        <v>0</v>
      </c>
      <c r="AJ319" s="56" t="n">
        <f aca="false">MIN(Z319,MAX(0,N(Debts!$E$5)))</f>
        <v>0</v>
      </c>
      <c r="AK319" s="56" t="n">
        <f aca="false">MIN(AA319,MAX(0,N(Debts!$E$6)))</f>
        <v>0</v>
      </c>
      <c r="AL319" s="56" t="n">
        <f aca="false">MIN(AB319,MAX(0,N(Debts!$E$7)))</f>
        <v>0</v>
      </c>
      <c r="AM319" s="56" t="n">
        <f aca="false">MIN(AC319,MAX(0,N(Debts!$E$8)))</f>
        <v>0</v>
      </c>
      <c r="AN319" s="56" t="n">
        <f aca="false">MIN(AD319,MAX(0,N(Debts!$E$9)))</f>
        <v>0</v>
      </c>
      <c r="AO319" s="56" t="n">
        <f aca="false">MIN(AE319,MAX(0,N(Debts!$E$10)))</f>
        <v>0</v>
      </c>
      <c r="AP319" s="56" t="n">
        <f aca="false">MIN(AF319,MAX(0,N(Debts!$E$11)))</f>
        <v>0</v>
      </c>
      <c r="AQ319" s="56" t="n">
        <f aca="false">MIN(AG319,MAX(0,N(Debts!$E$12)))</f>
        <v>0</v>
      </c>
      <c r="AR319" s="56" t="n">
        <f aca="false">MIN(AH319,MAX(0,N(Debts!$E$13)))</f>
        <v>0</v>
      </c>
      <c r="AS319" s="56" t="n">
        <f aca="false">MIN(AI319,MAX(0,N(Debts!$E$14)))</f>
        <v>0</v>
      </c>
    </row>
    <row r="320" customFormat="false" ht="15" hidden="false" customHeight="false" outlineLevel="0" collapsed="false">
      <c r="A320" s="53" t="n">
        <v>316</v>
      </c>
      <c r="B320" s="54" t="n">
        <f aca="false">EDATE('Start Here'!$B$8,315)</f>
        <v>55916</v>
      </c>
      <c r="C320" s="42" t="n">
        <f aca="false">SUM(F320:O320)</f>
        <v>0</v>
      </c>
      <c r="D320" s="42" t="n">
        <f aca="false">ROUND(SUM($Z320:$AI320)-SUM(P319:Y319),2)</f>
        <v>0</v>
      </c>
      <c r="E320" s="55" t="n">
        <f aca="false">SUM(P320:Y320)</f>
        <v>0</v>
      </c>
      <c r="F320" s="42" t="n">
        <f aca="false">AJ320+MIN(Z320-AJ320,MAX(0,'Start Here'!$B$10-SUM($AJ320:$AS320)-SUMPRODUCT(($Z$3:$AI$3&lt;Z$3)*($Z320:$AI320-$AJ320:$AS320))))</f>
        <v>0</v>
      </c>
      <c r="G320" s="42" t="n">
        <f aca="false">AK320+MIN(AA320-AK320,MAX(0,'Start Here'!$B$10-SUM($AJ320:$AS320)-SUMPRODUCT(($Z$3:$AI$3&lt;AA$3)*($Z320:$AI320-$AJ320:$AS320))))</f>
        <v>0</v>
      </c>
      <c r="H320" s="42" t="n">
        <f aca="false">AL320+MIN(AB320-AL320,MAX(0,'Start Here'!$B$10-SUM($AJ320:$AS320)-SUMPRODUCT(($Z$3:$AI$3&lt;AB$3)*($Z320:$AI320-$AJ320:$AS320))))</f>
        <v>0</v>
      </c>
      <c r="I320" s="42" t="n">
        <f aca="false">AM320+MIN(AC320-AM320,MAX(0,'Start Here'!$B$10-SUM($AJ320:$AS320)-SUMPRODUCT(($Z$3:$AI$3&lt;AC$3)*($Z320:$AI320-$AJ320:$AS320))))</f>
        <v>0</v>
      </c>
      <c r="J320" s="42" t="n">
        <f aca="false">AN320+MIN(AD320-AN320,MAX(0,'Start Here'!$B$10-SUM($AJ320:$AS320)-SUMPRODUCT(($Z$3:$AI$3&lt;AD$3)*($Z320:$AI320-$AJ320:$AS320))))</f>
        <v>0</v>
      </c>
      <c r="K320" s="42" t="n">
        <f aca="false">AO320+MIN(AE320-AO320,MAX(0,'Start Here'!$B$10-SUM($AJ320:$AS320)-SUMPRODUCT(($Z$3:$AI$3&lt;AE$3)*($Z320:$AI320-$AJ320:$AS320))))</f>
        <v>0</v>
      </c>
      <c r="L320" s="42" t="n">
        <f aca="false">AP320+MIN(AF320-AP320,MAX(0,'Start Here'!$B$10-SUM($AJ320:$AS320)-SUMPRODUCT(($Z$3:$AI$3&lt;AF$3)*($Z320:$AI320-$AJ320:$AS320))))</f>
        <v>0</v>
      </c>
      <c r="M320" s="42" t="n">
        <f aca="false">AQ320+MIN(AG320-AQ320,MAX(0,'Start Here'!$B$10-SUM($AJ320:$AS320)-SUMPRODUCT(($Z$3:$AI$3&lt;AG$3)*($Z320:$AI320-$AJ320:$AS320))))</f>
        <v>0</v>
      </c>
      <c r="N320" s="42" t="n">
        <f aca="false">AR320+MIN(AH320-AR320,MAX(0,'Start Here'!$B$10-SUM($AJ320:$AS320)-SUMPRODUCT(($Z$3:$AI$3&lt;AH$3)*($Z320:$AI320-$AJ320:$AS320))))</f>
        <v>0</v>
      </c>
      <c r="O320" s="42" t="n">
        <f aca="false">AS320+MIN(AI320-AS320,MAX(0,'Start Here'!$B$10-SUM($AJ320:$AS320)-SUMPRODUCT(($Z$3:$AI$3&lt;AI$3)*($Z320:$AI320-$AJ320:$AS320))))</f>
        <v>0</v>
      </c>
      <c r="P320" s="42" t="n">
        <f aca="false">ROUND(Z320-F320,2)</f>
        <v>0</v>
      </c>
      <c r="Q320" s="42" t="n">
        <f aca="false">ROUND(AA320-G320,2)</f>
        <v>0</v>
      </c>
      <c r="R320" s="42" t="n">
        <f aca="false">ROUND(AB320-H320,2)</f>
        <v>0</v>
      </c>
      <c r="S320" s="42" t="n">
        <f aca="false">ROUND(AC320-I320,2)</f>
        <v>0</v>
      </c>
      <c r="T320" s="42" t="n">
        <f aca="false">ROUND(AD320-J320,2)</f>
        <v>0</v>
      </c>
      <c r="U320" s="42" t="n">
        <f aca="false">ROUND(AE320-K320,2)</f>
        <v>0</v>
      </c>
      <c r="V320" s="42" t="n">
        <f aca="false">ROUND(AF320-L320,2)</f>
        <v>0</v>
      </c>
      <c r="W320" s="42" t="n">
        <f aca="false">ROUND(AG320-M320,2)</f>
        <v>0</v>
      </c>
      <c r="X320" s="42" t="n">
        <f aca="false">ROUND(AH320-N320,2)</f>
        <v>0</v>
      </c>
      <c r="Y320" s="42" t="n">
        <f aca="false">ROUND(AI320-O320,2)</f>
        <v>0</v>
      </c>
      <c r="Z320" s="56" t="n">
        <f aca="false">ROUND(P319*(1+N(Debts!$D$5)/12),2)</f>
        <v>0</v>
      </c>
      <c r="AA320" s="56" t="n">
        <f aca="false">ROUND(Q319*(1+N(Debts!$D$6)/12),2)</f>
        <v>0</v>
      </c>
      <c r="AB320" s="56" t="n">
        <f aca="false">ROUND(R319*(1+N(Debts!$D$7)/12),2)</f>
        <v>0</v>
      </c>
      <c r="AC320" s="56" t="n">
        <f aca="false">ROUND(S319*(1+N(Debts!$D$8)/12),2)</f>
        <v>0</v>
      </c>
      <c r="AD320" s="56" t="n">
        <f aca="false">ROUND(T319*(1+N(Debts!$D$9)/12),2)</f>
        <v>0</v>
      </c>
      <c r="AE320" s="56" t="n">
        <f aca="false">ROUND(U319*(1+N(Debts!$D$10)/12),2)</f>
        <v>0</v>
      </c>
      <c r="AF320" s="56" t="n">
        <f aca="false">ROUND(V319*(1+N(Debts!$D$11)/12),2)</f>
        <v>0</v>
      </c>
      <c r="AG320" s="56" t="n">
        <f aca="false">ROUND(W319*(1+N(Debts!$D$12)/12),2)</f>
        <v>0</v>
      </c>
      <c r="AH320" s="56" t="n">
        <f aca="false">ROUND(X319*(1+N(Debts!$D$13)/12),2)</f>
        <v>0</v>
      </c>
      <c r="AI320" s="56" t="n">
        <f aca="false">ROUND(Y319*(1+N(Debts!$D$14)/12),2)</f>
        <v>0</v>
      </c>
      <c r="AJ320" s="56" t="n">
        <f aca="false">MIN(Z320,MAX(0,N(Debts!$E$5)))</f>
        <v>0</v>
      </c>
      <c r="AK320" s="56" t="n">
        <f aca="false">MIN(AA320,MAX(0,N(Debts!$E$6)))</f>
        <v>0</v>
      </c>
      <c r="AL320" s="56" t="n">
        <f aca="false">MIN(AB320,MAX(0,N(Debts!$E$7)))</f>
        <v>0</v>
      </c>
      <c r="AM320" s="56" t="n">
        <f aca="false">MIN(AC320,MAX(0,N(Debts!$E$8)))</f>
        <v>0</v>
      </c>
      <c r="AN320" s="56" t="n">
        <f aca="false">MIN(AD320,MAX(0,N(Debts!$E$9)))</f>
        <v>0</v>
      </c>
      <c r="AO320" s="56" t="n">
        <f aca="false">MIN(AE320,MAX(0,N(Debts!$E$10)))</f>
        <v>0</v>
      </c>
      <c r="AP320" s="56" t="n">
        <f aca="false">MIN(AF320,MAX(0,N(Debts!$E$11)))</f>
        <v>0</v>
      </c>
      <c r="AQ320" s="56" t="n">
        <f aca="false">MIN(AG320,MAX(0,N(Debts!$E$12)))</f>
        <v>0</v>
      </c>
      <c r="AR320" s="56" t="n">
        <f aca="false">MIN(AH320,MAX(0,N(Debts!$E$13)))</f>
        <v>0</v>
      </c>
      <c r="AS320" s="56" t="n">
        <f aca="false">MIN(AI320,MAX(0,N(Debts!$E$14)))</f>
        <v>0</v>
      </c>
    </row>
    <row r="321" customFormat="false" ht="15" hidden="false" customHeight="false" outlineLevel="0" collapsed="false">
      <c r="A321" s="53" t="n">
        <v>317</v>
      </c>
      <c r="B321" s="54" t="n">
        <f aca="false">EDATE('Start Here'!$B$8,316)</f>
        <v>55944</v>
      </c>
      <c r="C321" s="42" t="n">
        <f aca="false">SUM(F321:O321)</f>
        <v>0</v>
      </c>
      <c r="D321" s="42" t="n">
        <f aca="false">ROUND(SUM($Z321:$AI321)-SUM(P320:Y320),2)</f>
        <v>0</v>
      </c>
      <c r="E321" s="55" t="n">
        <f aca="false">SUM(P321:Y321)</f>
        <v>0</v>
      </c>
      <c r="F321" s="42" t="n">
        <f aca="false">AJ321+MIN(Z321-AJ321,MAX(0,'Start Here'!$B$10-SUM($AJ321:$AS321)-SUMPRODUCT(($Z$3:$AI$3&lt;Z$3)*($Z321:$AI321-$AJ321:$AS321))))</f>
        <v>0</v>
      </c>
      <c r="G321" s="42" t="n">
        <f aca="false">AK321+MIN(AA321-AK321,MAX(0,'Start Here'!$B$10-SUM($AJ321:$AS321)-SUMPRODUCT(($Z$3:$AI$3&lt;AA$3)*($Z321:$AI321-$AJ321:$AS321))))</f>
        <v>0</v>
      </c>
      <c r="H321" s="42" t="n">
        <f aca="false">AL321+MIN(AB321-AL321,MAX(0,'Start Here'!$B$10-SUM($AJ321:$AS321)-SUMPRODUCT(($Z$3:$AI$3&lt;AB$3)*($Z321:$AI321-$AJ321:$AS321))))</f>
        <v>0</v>
      </c>
      <c r="I321" s="42" t="n">
        <f aca="false">AM321+MIN(AC321-AM321,MAX(0,'Start Here'!$B$10-SUM($AJ321:$AS321)-SUMPRODUCT(($Z$3:$AI$3&lt;AC$3)*($Z321:$AI321-$AJ321:$AS321))))</f>
        <v>0</v>
      </c>
      <c r="J321" s="42" t="n">
        <f aca="false">AN321+MIN(AD321-AN321,MAX(0,'Start Here'!$B$10-SUM($AJ321:$AS321)-SUMPRODUCT(($Z$3:$AI$3&lt;AD$3)*($Z321:$AI321-$AJ321:$AS321))))</f>
        <v>0</v>
      </c>
      <c r="K321" s="42" t="n">
        <f aca="false">AO321+MIN(AE321-AO321,MAX(0,'Start Here'!$B$10-SUM($AJ321:$AS321)-SUMPRODUCT(($Z$3:$AI$3&lt;AE$3)*($Z321:$AI321-$AJ321:$AS321))))</f>
        <v>0</v>
      </c>
      <c r="L321" s="42" t="n">
        <f aca="false">AP321+MIN(AF321-AP321,MAX(0,'Start Here'!$B$10-SUM($AJ321:$AS321)-SUMPRODUCT(($Z$3:$AI$3&lt;AF$3)*($Z321:$AI321-$AJ321:$AS321))))</f>
        <v>0</v>
      </c>
      <c r="M321" s="42" t="n">
        <f aca="false">AQ321+MIN(AG321-AQ321,MAX(0,'Start Here'!$B$10-SUM($AJ321:$AS321)-SUMPRODUCT(($Z$3:$AI$3&lt;AG$3)*($Z321:$AI321-$AJ321:$AS321))))</f>
        <v>0</v>
      </c>
      <c r="N321" s="42" t="n">
        <f aca="false">AR321+MIN(AH321-AR321,MAX(0,'Start Here'!$B$10-SUM($AJ321:$AS321)-SUMPRODUCT(($Z$3:$AI$3&lt;AH$3)*($Z321:$AI321-$AJ321:$AS321))))</f>
        <v>0</v>
      </c>
      <c r="O321" s="42" t="n">
        <f aca="false">AS321+MIN(AI321-AS321,MAX(0,'Start Here'!$B$10-SUM($AJ321:$AS321)-SUMPRODUCT(($Z$3:$AI$3&lt;AI$3)*($Z321:$AI321-$AJ321:$AS321))))</f>
        <v>0</v>
      </c>
      <c r="P321" s="42" t="n">
        <f aca="false">ROUND(Z321-F321,2)</f>
        <v>0</v>
      </c>
      <c r="Q321" s="42" t="n">
        <f aca="false">ROUND(AA321-G321,2)</f>
        <v>0</v>
      </c>
      <c r="R321" s="42" t="n">
        <f aca="false">ROUND(AB321-H321,2)</f>
        <v>0</v>
      </c>
      <c r="S321" s="42" t="n">
        <f aca="false">ROUND(AC321-I321,2)</f>
        <v>0</v>
      </c>
      <c r="T321" s="42" t="n">
        <f aca="false">ROUND(AD321-J321,2)</f>
        <v>0</v>
      </c>
      <c r="U321" s="42" t="n">
        <f aca="false">ROUND(AE321-K321,2)</f>
        <v>0</v>
      </c>
      <c r="V321" s="42" t="n">
        <f aca="false">ROUND(AF321-L321,2)</f>
        <v>0</v>
      </c>
      <c r="W321" s="42" t="n">
        <f aca="false">ROUND(AG321-M321,2)</f>
        <v>0</v>
      </c>
      <c r="X321" s="42" t="n">
        <f aca="false">ROUND(AH321-N321,2)</f>
        <v>0</v>
      </c>
      <c r="Y321" s="42" t="n">
        <f aca="false">ROUND(AI321-O321,2)</f>
        <v>0</v>
      </c>
      <c r="Z321" s="56" t="n">
        <f aca="false">ROUND(P320*(1+N(Debts!$D$5)/12),2)</f>
        <v>0</v>
      </c>
      <c r="AA321" s="56" t="n">
        <f aca="false">ROUND(Q320*(1+N(Debts!$D$6)/12),2)</f>
        <v>0</v>
      </c>
      <c r="AB321" s="56" t="n">
        <f aca="false">ROUND(R320*(1+N(Debts!$D$7)/12),2)</f>
        <v>0</v>
      </c>
      <c r="AC321" s="56" t="n">
        <f aca="false">ROUND(S320*(1+N(Debts!$D$8)/12),2)</f>
        <v>0</v>
      </c>
      <c r="AD321" s="56" t="n">
        <f aca="false">ROUND(T320*(1+N(Debts!$D$9)/12),2)</f>
        <v>0</v>
      </c>
      <c r="AE321" s="56" t="n">
        <f aca="false">ROUND(U320*(1+N(Debts!$D$10)/12),2)</f>
        <v>0</v>
      </c>
      <c r="AF321" s="56" t="n">
        <f aca="false">ROUND(V320*(1+N(Debts!$D$11)/12),2)</f>
        <v>0</v>
      </c>
      <c r="AG321" s="56" t="n">
        <f aca="false">ROUND(W320*(1+N(Debts!$D$12)/12),2)</f>
        <v>0</v>
      </c>
      <c r="AH321" s="56" t="n">
        <f aca="false">ROUND(X320*(1+N(Debts!$D$13)/12),2)</f>
        <v>0</v>
      </c>
      <c r="AI321" s="56" t="n">
        <f aca="false">ROUND(Y320*(1+N(Debts!$D$14)/12),2)</f>
        <v>0</v>
      </c>
      <c r="AJ321" s="56" t="n">
        <f aca="false">MIN(Z321,MAX(0,N(Debts!$E$5)))</f>
        <v>0</v>
      </c>
      <c r="AK321" s="56" t="n">
        <f aca="false">MIN(AA321,MAX(0,N(Debts!$E$6)))</f>
        <v>0</v>
      </c>
      <c r="AL321" s="56" t="n">
        <f aca="false">MIN(AB321,MAX(0,N(Debts!$E$7)))</f>
        <v>0</v>
      </c>
      <c r="AM321" s="56" t="n">
        <f aca="false">MIN(AC321,MAX(0,N(Debts!$E$8)))</f>
        <v>0</v>
      </c>
      <c r="AN321" s="56" t="n">
        <f aca="false">MIN(AD321,MAX(0,N(Debts!$E$9)))</f>
        <v>0</v>
      </c>
      <c r="AO321" s="56" t="n">
        <f aca="false">MIN(AE321,MAX(0,N(Debts!$E$10)))</f>
        <v>0</v>
      </c>
      <c r="AP321" s="56" t="n">
        <f aca="false">MIN(AF321,MAX(0,N(Debts!$E$11)))</f>
        <v>0</v>
      </c>
      <c r="AQ321" s="56" t="n">
        <f aca="false">MIN(AG321,MAX(0,N(Debts!$E$12)))</f>
        <v>0</v>
      </c>
      <c r="AR321" s="56" t="n">
        <f aca="false">MIN(AH321,MAX(0,N(Debts!$E$13)))</f>
        <v>0</v>
      </c>
      <c r="AS321" s="56" t="n">
        <f aca="false">MIN(AI321,MAX(0,N(Debts!$E$14)))</f>
        <v>0</v>
      </c>
    </row>
    <row r="322" customFormat="false" ht="15" hidden="false" customHeight="false" outlineLevel="0" collapsed="false">
      <c r="A322" s="53" t="n">
        <v>318</v>
      </c>
      <c r="B322" s="54" t="n">
        <f aca="false">EDATE('Start Here'!$B$8,317)</f>
        <v>55975</v>
      </c>
      <c r="C322" s="42" t="n">
        <f aca="false">SUM(F322:O322)</f>
        <v>0</v>
      </c>
      <c r="D322" s="42" t="n">
        <f aca="false">ROUND(SUM($Z322:$AI322)-SUM(P321:Y321),2)</f>
        <v>0</v>
      </c>
      <c r="E322" s="55" t="n">
        <f aca="false">SUM(P322:Y322)</f>
        <v>0</v>
      </c>
      <c r="F322" s="42" t="n">
        <f aca="false">AJ322+MIN(Z322-AJ322,MAX(0,'Start Here'!$B$10-SUM($AJ322:$AS322)-SUMPRODUCT(($Z$3:$AI$3&lt;Z$3)*($Z322:$AI322-$AJ322:$AS322))))</f>
        <v>0</v>
      </c>
      <c r="G322" s="42" t="n">
        <f aca="false">AK322+MIN(AA322-AK322,MAX(0,'Start Here'!$B$10-SUM($AJ322:$AS322)-SUMPRODUCT(($Z$3:$AI$3&lt;AA$3)*($Z322:$AI322-$AJ322:$AS322))))</f>
        <v>0</v>
      </c>
      <c r="H322" s="42" t="n">
        <f aca="false">AL322+MIN(AB322-AL322,MAX(0,'Start Here'!$B$10-SUM($AJ322:$AS322)-SUMPRODUCT(($Z$3:$AI$3&lt;AB$3)*($Z322:$AI322-$AJ322:$AS322))))</f>
        <v>0</v>
      </c>
      <c r="I322" s="42" t="n">
        <f aca="false">AM322+MIN(AC322-AM322,MAX(0,'Start Here'!$B$10-SUM($AJ322:$AS322)-SUMPRODUCT(($Z$3:$AI$3&lt;AC$3)*($Z322:$AI322-$AJ322:$AS322))))</f>
        <v>0</v>
      </c>
      <c r="J322" s="42" t="n">
        <f aca="false">AN322+MIN(AD322-AN322,MAX(0,'Start Here'!$B$10-SUM($AJ322:$AS322)-SUMPRODUCT(($Z$3:$AI$3&lt;AD$3)*($Z322:$AI322-$AJ322:$AS322))))</f>
        <v>0</v>
      </c>
      <c r="K322" s="42" t="n">
        <f aca="false">AO322+MIN(AE322-AO322,MAX(0,'Start Here'!$B$10-SUM($AJ322:$AS322)-SUMPRODUCT(($Z$3:$AI$3&lt;AE$3)*($Z322:$AI322-$AJ322:$AS322))))</f>
        <v>0</v>
      </c>
      <c r="L322" s="42" t="n">
        <f aca="false">AP322+MIN(AF322-AP322,MAX(0,'Start Here'!$B$10-SUM($AJ322:$AS322)-SUMPRODUCT(($Z$3:$AI$3&lt;AF$3)*($Z322:$AI322-$AJ322:$AS322))))</f>
        <v>0</v>
      </c>
      <c r="M322" s="42" t="n">
        <f aca="false">AQ322+MIN(AG322-AQ322,MAX(0,'Start Here'!$B$10-SUM($AJ322:$AS322)-SUMPRODUCT(($Z$3:$AI$3&lt;AG$3)*($Z322:$AI322-$AJ322:$AS322))))</f>
        <v>0</v>
      </c>
      <c r="N322" s="42" t="n">
        <f aca="false">AR322+MIN(AH322-AR322,MAX(0,'Start Here'!$B$10-SUM($AJ322:$AS322)-SUMPRODUCT(($Z$3:$AI$3&lt;AH$3)*($Z322:$AI322-$AJ322:$AS322))))</f>
        <v>0</v>
      </c>
      <c r="O322" s="42" t="n">
        <f aca="false">AS322+MIN(AI322-AS322,MAX(0,'Start Here'!$B$10-SUM($AJ322:$AS322)-SUMPRODUCT(($Z$3:$AI$3&lt;AI$3)*($Z322:$AI322-$AJ322:$AS322))))</f>
        <v>0</v>
      </c>
      <c r="P322" s="42" t="n">
        <f aca="false">ROUND(Z322-F322,2)</f>
        <v>0</v>
      </c>
      <c r="Q322" s="42" t="n">
        <f aca="false">ROUND(AA322-G322,2)</f>
        <v>0</v>
      </c>
      <c r="R322" s="42" t="n">
        <f aca="false">ROUND(AB322-H322,2)</f>
        <v>0</v>
      </c>
      <c r="S322" s="42" t="n">
        <f aca="false">ROUND(AC322-I322,2)</f>
        <v>0</v>
      </c>
      <c r="T322" s="42" t="n">
        <f aca="false">ROUND(AD322-J322,2)</f>
        <v>0</v>
      </c>
      <c r="U322" s="42" t="n">
        <f aca="false">ROUND(AE322-K322,2)</f>
        <v>0</v>
      </c>
      <c r="V322" s="42" t="n">
        <f aca="false">ROUND(AF322-L322,2)</f>
        <v>0</v>
      </c>
      <c r="W322" s="42" t="n">
        <f aca="false">ROUND(AG322-M322,2)</f>
        <v>0</v>
      </c>
      <c r="X322" s="42" t="n">
        <f aca="false">ROUND(AH322-N322,2)</f>
        <v>0</v>
      </c>
      <c r="Y322" s="42" t="n">
        <f aca="false">ROUND(AI322-O322,2)</f>
        <v>0</v>
      </c>
      <c r="Z322" s="56" t="n">
        <f aca="false">ROUND(P321*(1+N(Debts!$D$5)/12),2)</f>
        <v>0</v>
      </c>
      <c r="AA322" s="56" t="n">
        <f aca="false">ROUND(Q321*(1+N(Debts!$D$6)/12),2)</f>
        <v>0</v>
      </c>
      <c r="AB322" s="56" t="n">
        <f aca="false">ROUND(R321*(1+N(Debts!$D$7)/12),2)</f>
        <v>0</v>
      </c>
      <c r="AC322" s="56" t="n">
        <f aca="false">ROUND(S321*(1+N(Debts!$D$8)/12),2)</f>
        <v>0</v>
      </c>
      <c r="AD322" s="56" t="n">
        <f aca="false">ROUND(T321*(1+N(Debts!$D$9)/12),2)</f>
        <v>0</v>
      </c>
      <c r="AE322" s="56" t="n">
        <f aca="false">ROUND(U321*(1+N(Debts!$D$10)/12),2)</f>
        <v>0</v>
      </c>
      <c r="AF322" s="56" t="n">
        <f aca="false">ROUND(V321*(1+N(Debts!$D$11)/12),2)</f>
        <v>0</v>
      </c>
      <c r="AG322" s="56" t="n">
        <f aca="false">ROUND(W321*(1+N(Debts!$D$12)/12),2)</f>
        <v>0</v>
      </c>
      <c r="AH322" s="56" t="n">
        <f aca="false">ROUND(X321*(1+N(Debts!$D$13)/12),2)</f>
        <v>0</v>
      </c>
      <c r="AI322" s="56" t="n">
        <f aca="false">ROUND(Y321*(1+N(Debts!$D$14)/12),2)</f>
        <v>0</v>
      </c>
      <c r="AJ322" s="56" t="n">
        <f aca="false">MIN(Z322,MAX(0,N(Debts!$E$5)))</f>
        <v>0</v>
      </c>
      <c r="AK322" s="56" t="n">
        <f aca="false">MIN(AA322,MAX(0,N(Debts!$E$6)))</f>
        <v>0</v>
      </c>
      <c r="AL322" s="56" t="n">
        <f aca="false">MIN(AB322,MAX(0,N(Debts!$E$7)))</f>
        <v>0</v>
      </c>
      <c r="AM322" s="56" t="n">
        <f aca="false">MIN(AC322,MAX(0,N(Debts!$E$8)))</f>
        <v>0</v>
      </c>
      <c r="AN322" s="56" t="n">
        <f aca="false">MIN(AD322,MAX(0,N(Debts!$E$9)))</f>
        <v>0</v>
      </c>
      <c r="AO322" s="56" t="n">
        <f aca="false">MIN(AE322,MAX(0,N(Debts!$E$10)))</f>
        <v>0</v>
      </c>
      <c r="AP322" s="56" t="n">
        <f aca="false">MIN(AF322,MAX(0,N(Debts!$E$11)))</f>
        <v>0</v>
      </c>
      <c r="AQ322" s="56" t="n">
        <f aca="false">MIN(AG322,MAX(0,N(Debts!$E$12)))</f>
        <v>0</v>
      </c>
      <c r="AR322" s="56" t="n">
        <f aca="false">MIN(AH322,MAX(0,N(Debts!$E$13)))</f>
        <v>0</v>
      </c>
      <c r="AS322" s="56" t="n">
        <f aca="false">MIN(AI322,MAX(0,N(Debts!$E$14)))</f>
        <v>0</v>
      </c>
    </row>
    <row r="323" customFormat="false" ht="15" hidden="false" customHeight="false" outlineLevel="0" collapsed="false">
      <c r="A323" s="53" t="n">
        <v>319</v>
      </c>
      <c r="B323" s="54" t="n">
        <f aca="false">EDATE('Start Here'!$B$8,318)</f>
        <v>56005</v>
      </c>
      <c r="C323" s="42" t="n">
        <f aca="false">SUM(F323:O323)</f>
        <v>0</v>
      </c>
      <c r="D323" s="42" t="n">
        <f aca="false">ROUND(SUM($Z323:$AI323)-SUM(P322:Y322),2)</f>
        <v>0</v>
      </c>
      <c r="E323" s="55" t="n">
        <f aca="false">SUM(P323:Y323)</f>
        <v>0</v>
      </c>
      <c r="F323" s="42" t="n">
        <f aca="false">AJ323+MIN(Z323-AJ323,MAX(0,'Start Here'!$B$10-SUM($AJ323:$AS323)-SUMPRODUCT(($Z$3:$AI$3&lt;Z$3)*($Z323:$AI323-$AJ323:$AS323))))</f>
        <v>0</v>
      </c>
      <c r="G323" s="42" t="n">
        <f aca="false">AK323+MIN(AA323-AK323,MAX(0,'Start Here'!$B$10-SUM($AJ323:$AS323)-SUMPRODUCT(($Z$3:$AI$3&lt;AA$3)*($Z323:$AI323-$AJ323:$AS323))))</f>
        <v>0</v>
      </c>
      <c r="H323" s="42" t="n">
        <f aca="false">AL323+MIN(AB323-AL323,MAX(0,'Start Here'!$B$10-SUM($AJ323:$AS323)-SUMPRODUCT(($Z$3:$AI$3&lt;AB$3)*($Z323:$AI323-$AJ323:$AS323))))</f>
        <v>0</v>
      </c>
      <c r="I323" s="42" t="n">
        <f aca="false">AM323+MIN(AC323-AM323,MAX(0,'Start Here'!$B$10-SUM($AJ323:$AS323)-SUMPRODUCT(($Z$3:$AI$3&lt;AC$3)*($Z323:$AI323-$AJ323:$AS323))))</f>
        <v>0</v>
      </c>
      <c r="J323" s="42" t="n">
        <f aca="false">AN323+MIN(AD323-AN323,MAX(0,'Start Here'!$B$10-SUM($AJ323:$AS323)-SUMPRODUCT(($Z$3:$AI$3&lt;AD$3)*($Z323:$AI323-$AJ323:$AS323))))</f>
        <v>0</v>
      </c>
      <c r="K323" s="42" t="n">
        <f aca="false">AO323+MIN(AE323-AO323,MAX(0,'Start Here'!$B$10-SUM($AJ323:$AS323)-SUMPRODUCT(($Z$3:$AI$3&lt;AE$3)*($Z323:$AI323-$AJ323:$AS323))))</f>
        <v>0</v>
      </c>
      <c r="L323" s="42" t="n">
        <f aca="false">AP323+MIN(AF323-AP323,MAX(0,'Start Here'!$B$10-SUM($AJ323:$AS323)-SUMPRODUCT(($Z$3:$AI$3&lt;AF$3)*($Z323:$AI323-$AJ323:$AS323))))</f>
        <v>0</v>
      </c>
      <c r="M323" s="42" t="n">
        <f aca="false">AQ323+MIN(AG323-AQ323,MAX(0,'Start Here'!$B$10-SUM($AJ323:$AS323)-SUMPRODUCT(($Z$3:$AI$3&lt;AG$3)*($Z323:$AI323-$AJ323:$AS323))))</f>
        <v>0</v>
      </c>
      <c r="N323" s="42" t="n">
        <f aca="false">AR323+MIN(AH323-AR323,MAX(0,'Start Here'!$B$10-SUM($AJ323:$AS323)-SUMPRODUCT(($Z$3:$AI$3&lt;AH$3)*($Z323:$AI323-$AJ323:$AS323))))</f>
        <v>0</v>
      </c>
      <c r="O323" s="42" t="n">
        <f aca="false">AS323+MIN(AI323-AS323,MAX(0,'Start Here'!$B$10-SUM($AJ323:$AS323)-SUMPRODUCT(($Z$3:$AI$3&lt;AI$3)*($Z323:$AI323-$AJ323:$AS323))))</f>
        <v>0</v>
      </c>
      <c r="P323" s="42" t="n">
        <f aca="false">ROUND(Z323-F323,2)</f>
        <v>0</v>
      </c>
      <c r="Q323" s="42" t="n">
        <f aca="false">ROUND(AA323-G323,2)</f>
        <v>0</v>
      </c>
      <c r="R323" s="42" t="n">
        <f aca="false">ROUND(AB323-H323,2)</f>
        <v>0</v>
      </c>
      <c r="S323" s="42" t="n">
        <f aca="false">ROUND(AC323-I323,2)</f>
        <v>0</v>
      </c>
      <c r="T323" s="42" t="n">
        <f aca="false">ROUND(AD323-J323,2)</f>
        <v>0</v>
      </c>
      <c r="U323" s="42" t="n">
        <f aca="false">ROUND(AE323-K323,2)</f>
        <v>0</v>
      </c>
      <c r="V323" s="42" t="n">
        <f aca="false">ROUND(AF323-L323,2)</f>
        <v>0</v>
      </c>
      <c r="W323" s="42" t="n">
        <f aca="false">ROUND(AG323-M323,2)</f>
        <v>0</v>
      </c>
      <c r="X323" s="42" t="n">
        <f aca="false">ROUND(AH323-N323,2)</f>
        <v>0</v>
      </c>
      <c r="Y323" s="42" t="n">
        <f aca="false">ROUND(AI323-O323,2)</f>
        <v>0</v>
      </c>
      <c r="Z323" s="56" t="n">
        <f aca="false">ROUND(P322*(1+N(Debts!$D$5)/12),2)</f>
        <v>0</v>
      </c>
      <c r="AA323" s="56" t="n">
        <f aca="false">ROUND(Q322*(1+N(Debts!$D$6)/12),2)</f>
        <v>0</v>
      </c>
      <c r="AB323" s="56" t="n">
        <f aca="false">ROUND(R322*(1+N(Debts!$D$7)/12),2)</f>
        <v>0</v>
      </c>
      <c r="AC323" s="56" t="n">
        <f aca="false">ROUND(S322*(1+N(Debts!$D$8)/12),2)</f>
        <v>0</v>
      </c>
      <c r="AD323" s="56" t="n">
        <f aca="false">ROUND(T322*(1+N(Debts!$D$9)/12),2)</f>
        <v>0</v>
      </c>
      <c r="AE323" s="56" t="n">
        <f aca="false">ROUND(U322*(1+N(Debts!$D$10)/12),2)</f>
        <v>0</v>
      </c>
      <c r="AF323" s="56" t="n">
        <f aca="false">ROUND(V322*(1+N(Debts!$D$11)/12),2)</f>
        <v>0</v>
      </c>
      <c r="AG323" s="56" t="n">
        <f aca="false">ROUND(W322*(1+N(Debts!$D$12)/12),2)</f>
        <v>0</v>
      </c>
      <c r="AH323" s="56" t="n">
        <f aca="false">ROUND(X322*(1+N(Debts!$D$13)/12),2)</f>
        <v>0</v>
      </c>
      <c r="AI323" s="56" t="n">
        <f aca="false">ROUND(Y322*(1+N(Debts!$D$14)/12),2)</f>
        <v>0</v>
      </c>
      <c r="AJ323" s="56" t="n">
        <f aca="false">MIN(Z323,MAX(0,N(Debts!$E$5)))</f>
        <v>0</v>
      </c>
      <c r="AK323" s="56" t="n">
        <f aca="false">MIN(AA323,MAX(0,N(Debts!$E$6)))</f>
        <v>0</v>
      </c>
      <c r="AL323" s="56" t="n">
        <f aca="false">MIN(AB323,MAX(0,N(Debts!$E$7)))</f>
        <v>0</v>
      </c>
      <c r="AM323" s="56" t="n">
        <f aca="false">MIN(AC323,MAX(0,N(Debts!$E$8)))</f>
        <v>0</v>
      </c>
      <c r="AN323" s="56" t="n">
        <f aca="false">MIN(AD323,MAX(0,N(Debts!$E$9)))</f>
        <v>0</v>
      </c>
      <c r="AO323" s="56" t="n">
        <f aca="false">MIN(AE323,MAX(0,N(Debts!$E$10)))</f>
        <v>0</v>
      </c>
      <c r="AP323" s="56" t="n">
        <f aca="false">MIN(AF323,MAX(0,N(Debts!$E$11)))</f>
        <v>0</v>
      </c>
      <c r="AQ323" s="56" t="n">
        <f aca="false">MIN(AG323,MAX(0,N(Debts!$E$12)))</f>
        <v>0</v>
      </c>
      <c r="AR323" s="56" t="n">
        <f aca="false">MIN(AH323,MAX(0,N(Debts!$E$13)))</f>
        <v>0</v>
      </c>
      <c r="AS323" s="56" t="n">
        <f aca="false">MIN(AI323,MAX(0,N(Debts!$E$14)))</f>
        <v>0</v>
      </c>
    </row>
    <row r="324" customFormat="false" ht="15" hidden="false" customHeight="false" outlineLevel="0" collapsed="false">
      <c r="A324" s="53" t="n">
        <v>320</v>
      </c>
      <c r="B324" s="54" t="n">
        <f aca="false">EDATE('Start Here'!$B$8,319)</f>
        <v>56036</v>
      </c>
      <c r="C324" s="42" t="n">
        <f aca="false">SUM(F324:O324)</f>
        <v>0</v>
      </c>
      <c r="D324" s="42" t="n">
        <f aca="false">ROUND(SUM($Z324:$AI324)-SUM(P323:Y323),2)</f>
        <v>0</v>
      </c>
      <c r="E324" s="55" t="n">
        <f aca="false">SUM(P324:Y324)</f>
        <v>0</v>
      </c>
      <c r="F324" s="42" t="n">
        <f aca="false">AJ324+MIN(Z324-AJ324,MAX(0,'Start Here'!$B$10-SUM($AJ324:$AS324)-SUMPRODUCT(($Z$3:$AI$3&lt;Z$3)*($Z324:$AI324-$AJ324:$AS324))))</f>
        <v>0</v>
      </c>
      <c r="G324" s="42" t="n">
        <f aca="false">AK324+MIN(AA324-AK324,MAX(0,'Start Here'!$B$10-SUM($AJ324:$AS324)-SUMPRODUCT(($Z$3:$AI$3&lt;AA$3)*($Z324:$AI324-$AJ324:$AS324))))</f>
        <v>0</v>
      </c>
      <c r="H324" s="42" t="n">
        <f aca="false">AL324+MIN(AB324-AL324,MAX(0,'Start Here'!$B$10-SUM($AJ324:$AS324)-SUMPRODUCT(($Z$3:$AI$3&lt;AB$3)*($Z324:$AI324-$AJ324:$AS324))))</f>
        <v>0</v>
      </c>
      <c r="I324" s="42" t="n">
        <f aca="false">AM324+MIN(AC324-AM324,MAX(0,'Start Here'!$B$10-SUM($AJ324:$AS324)-SUMPRODUCT(($Z$3:$AI$3&lt;AC$3)*($Z324:$AI324-$AJ324:$AS324))))</f>
        <v>0</v>
      </c>
      <c r="J324" s="42" t="n">
        <f aca="false">AN324+MIN(AD324-AN324,MAX(0,'Start Here'!$B$10-SUM($AJ324:$AS324)-SUMPRODUCT(($Z$3:$AI$3&lt;AD$3)*($Z324:$AI324-$AJ324:$AS324))))</f>
        <v>0</v>
      </c>
      <c r="K324" s="42" t="n">
        <f aca="false">AO324+MIN(AE324-AO324,MAX(0,'Start Here'!$B$10-SUM($AJ324:$AS324)-SUMPRODUCT(($Z$3:$AI$3&lt;AE$3)*($Z324:$AI324-$AJ324:$AS324))))</f>
        <v>0</v>
      </c>
      <c r="L324" s="42" t="n">
        <f aca="false">AP324+MIN(AF324-AP324,MAX(0,'Start Here'!$B$10-SUM($AJ324:$AS324)-SUMPRODUCT(($Z$3:$AI$3&lt;AF$3)*($Z324:$AI324-$AJ324:$AS324))))</f>
        <v>0</v>
      </c>
      <c r="M324" s="42" t="n">
        <f aca="false">AQ324+MIN(AG324-AQ324,MAX(0,'Start Here'!$B$10-SUM($AJ324:$AS324)-SUMPRODUCT(($Z$3:$AI$3&lt;AG$3)*($Z324:$AI324-$AJ324:$AS324))))</f>
        <v>0</v>
      </c>
      <c r="N324" s="42" t="n">
        <f aca="false">AR324+MIN(AH324-AR324,MAX(0,'Start Here'!$B$10-SUM($AJ324:$AS324)-SUMPRODUCT(($Z$3:$AI$3&lt;AH$3)*($Z324:$AI324-$AJ324:$AS324))))</f>
        <v>0</v>
      </c>
      <c r="O324" s="42" t="n">
        <f aca="false">AS324+MIN(AI324-AS324,MAX(0,'Start Here'!$B$10-SUM($AJ324:$AS324)-SUMPRODUCT(($Z$3:$AI$3&lt;AI$3)*($Z324:$AI324-$AJ324:$AS324))))</f>
        <v>0</v>
      </c>
      <c r="P324" s="42" t="n">
        <f aca="false">ROUND(Z324-F324,2)</f>
        <v>0</v>
      </c>
      <c r="Q324" s="42" t="n">
        <f aca="false">ROUND(AA324-G324,2)</f>
        <v>0</v>
      </c>
      <c r="R324" s="42" t="n">
        <f aca="false">ROUND(AB324-H324,2)</f>
        <v>0</v>
      </c>
      <c r="S324" s="42" t="n">
        <f aca="false">ROUND(AC324-I324,2)</f>
        <v>0</v>
      </c>
      <c r="T324" s="42" t="n">
        <f aca="false">ROUND(AD324-J324,2)</f>
        <v>0</v>
      </c>
      <c r="U324" s="42" t="n">
        <f aca="false">ROUND(AE324-K324,2)</f>
        <v>0</v>
      </c>
      <c r="V324" s="42" t="n">
        <f aca="false">ROUND(AF324-L324,2)</f>
        <v>0</v>
      </c>
      <c r="W324" s="42" t="n">
        <f aca="false">ROUND(AG324-M324,2)</f>
        <v>0</v>
      </c>
      <c r="X324" s="42" t="n">
        <f aca="false">ROUND(AH324-N324,2)</f>
        <v>0</v>
      </c>
      <c r="Y324" s="42" t="n">
        <f aca="false">ROUND(AI324-O324,2)</f>
        <v>0</v>
      </c>
      <c r="Z324" s="56" t="n">
        <f aca="false">ROUND(P323*(1+N(Debts!$D$5)/12),2)</f>
        <v>0</v>
      </c>
      <c r="AA324" s="56" t="n">
        <f aca="false">ROUND(Q323*(1+N(Debts!$D$6)/12),2)</f>
        <v>0</v>
      </c>
      <c r="AB324" s="56" t="n">
        <f aca="false">ROUND(R323*(1+N(Debts!$D$7)/12),2)</f>
        <v>0</v>
      </c>
      <c r="AC324" s="56" t="n">
        <f aca="false">ROUND(S323*(1+N(Debts!$D$8)/12),2)</f>
        <v>0</v>
      </c>
      <c r="AD324" s="56" t="n">
        <f aca="false">ROUND(T323*(1+N(Debts!$D$9)/12),2)</f>
        <v>0</v>
      </c>
      <c r="AE324" s="56" t="n">
        <f aca="false">ROUND(U323*(1+N(Debts!$D$10)/12),2)</f>
        <v>0</v>
      </c>
      <c r="AF324" s="56" t="n">
        <f aca="false">ROUND(V323*(1+N(Debts!$D$11)/12),2)</f>
        <v>0</v>
      </c>
      <c r="AG324" s="56" t="n">
        <f aca="false">ROUND(W323*(1+N(Debts!$D$12)/12),2)</f>
        <v>0</v>
      </c>
      <c r="AH324" s="56" t="n">
        <f aca="false">ROUND(X323*(1+N(Debts!$D$13)/12),2)</f>
        <v>0</v>
      </c>
      <c r="AI324" s="56" t="n">
        <f aca="false">ROUND(Y323*(1+N(Debts!$D$14)/12),2)</f>
        <v>0</v>
      </c>
      <c r="AJ324" s="56" t="n">
        <f aca="false">MIN(Z324,MAX(0,N(Debts!$E$5)))</f>
        <v>0</v>
      </c>
      <c r="AK324" s="56" t="n">
        <f aca="false">MIN(AA324,MAX(0,N(Debts!$E$6)))</f>
        <v>0</v>
      </c>
      <c r="AL324" s="56" t="n">
        <f aca="false">MIN(AB324,MAX(0,N(Debts!$E$7)))</f>
        <v>0</v>
      </c>
      <c r="AM324" s="56" t="n">
        <f aca="false">MIN(AC324,MAX(0,N(Debts!$E$8)))</f>
        <v>0</v>
      </c>
      <c r="AN324" s="56" t="n">
        <f aca="false">MIN(AD324,MAX(0,N(Debts!$E$9)))</f>
        <v>0</v>
      </c>
      <c r="AO324" s="56" t="n">
        <f aca="false">MIN(AE324,MAX(0,N(Debts!$E$10)))</f>
        <v>0</v>
      </c>
      <c r="AP324" s="56" t="n">
        <f aca="false">MIN(AF324,MAX(0,N(Debts!$E$11)))</f>
        <v>0</v>
      </c>
      <c r="AQ324" s="56" t="n">
        <f aca="false">MIN(AG324,MAX(0,N(Debts!$E$12)))</f>
        <v>0</v>
      </c>
      <c r="AR324" s="56" t="n">
        <f aca="false">MIN(AH324,MAX(0,N(Debts!$E$13)))</f>
        <v>0</v>
      </c>
      <c r="AS324" s="56" t="n">
        <f aca="false">MIN(AI324,MAX(0,N(Debts!$E$14)))</f>
        <v>0</v>
      </c>
    </row>
    <row r="325" customFormat="false" ht="15" hidden="false" customHeight="false" outlineLevel="0" collapsed="false">
      <c r="A325" s="53" t="n">
        <v>321</v>
      </c>
      <c r="B325" s="54" t="n">
        <f aca="false">EDATE('Start Here'!$B$8,320)</f>
        <v>56066</v>
      </c>
      <c r="C325" s="42" t="n">
        <f aca="false">SUM(F325:O325)</f>
        <v>0</v>
      </c>
      <c r="D325" s="42" t="n">
        <f aca="false">ROUND(SUM($Z325:$AI325)-SUM(P324:Y324),2)</f>
        <v>0</v>
      </c>
      <c r="E325" s="55" t="n">
        <f aca="false">SUM(P325:Y325)</f>
        <v>0</v>
      </c>
      <c r="F325" s="42" t="n">
        <f aca="false">AJ325+MIN(Z325-AJ325,MAX(0,'Start Here'!$B$10-SUM($AJ325:$AS325)-SUMPRODUCT(($Z$3:$AI$3&lt;Z$3)*($Z325:$AI325-$AJ325:$AS325))))</f>
        <v>0</v>
      </c>
      <c r="G325" s="42" t="n">
        <f aca="false">AK325+MIN(AA325-AK325,MAX(0,'Start Here'!$B$10-SUM($AJ325:$AS325)-SUMPRODUCT(($Z$3:$AI$3&lt;AA$3)*($Z325:$AI325-$AJ325:$AS325))))</f>
        <v>0</v>
      </c>
      <c r="H325" s="42" t="n">
        <f aca="false">AL325+MIN(AB325-AL325,MAX(0,'Start Here'!$B$10-SUM($AJ325:$AS325)-SUMPRODUCT(($Z$3:$AI$3&lt;AB$3)*($Z325:$AI325-$AJ325:$AS325))))</f>
        <v>0</v>
      </c>
      <c r="I325" s="42" t="n">
        <f aca="false">AM325+MIN(AC325-AM325,MAX(0,'Start Here'!$B$10-SUM($AJ325:$AS325)-SUMPRODUCT(($Z$3:$AI$3&lt;AC$3)*($Z325:$AI325-$AJ325:$AS325))))</f>
        <v>0</v>
      </c>
      <c r="J325" s="42" t="n">
        <f aca="false">AN325+MIN(AD325-AN325,MAX(0,'Start Here'!$B$10-SUM($AJ325:$AS325)-SUMPRODUCT(($Z$3:$AI$3&lt;AD$3)*($Z325:$AI325-$AJ325:$AS325))))</f>
        <v>0</v>
      </c>
      <c r="K325" s="42" t="n">
        <f aca="false">AO325+MIN(AE325-AO325,MAX(0,'Start Here'!$B$10-SUM($AJ325:$AS325)-SUMPRODUCT(($Z$3:$AI$3&lt;AE$3)*($Z325:$AI325-$AJ325:$AS325))))</f>
        <v>0</v>
      </c>
      <c r="L325" s="42" t="n">
        <f aca="false">AP325+MIN(AF325-AP325,MAX(0,'Start Here'!$B$10-SUM($AJ325:$AS325)-SUMPRODUCT(($Z$3:$AI$3&lt;AF$3)*($Z325:$AI325-$AJ325:$AS325))))</f>
        <v>0</v>
      </c>
      <c r="M325" s="42" t="n">
        <f aca="false">AQ325+MIN(AG325-AQ325,MAX(0,'Start Here'!$B$10-SUM($AJ325:$AS325)-SUMPRODUCT(($Z$3:$AI$3&lt;AG$3)*($Z325:$AI325-$AJ325:$AS325))))</f>
        <v>0</v>
      </c>
      <c r="N325" s="42" t="n">
        <f aca="false">AR325+MIN(AH325-AR325,MAX(0,'Start Here'!$B$10-SUM($AJ325:$AS325)-SUMPRODUCT(($Z$3:$AI$3&lt;AH$3)*($Z325:$AI325-$AJ325:$AS325))))</f>
        <v>0</v>
      </c>
      <c r="O325" s="42" t="n">
        <f aca="false">AS325+MIN(AI325-AS325,MAX(0,'Start Here'!$B$10-SUM($AJ325:$AS325)-SUMPRODUCT(($Z$3:$AI$3&lt;AI$3)*($Z325:$AI325-$AJ325:$AS325))))</f>
        <v>0</v>
      </c>
      <c r="P325" s="42" t="n">
        <f aca="false">ROUND(Z325-F325,2)</f>
        <v>0</v>
      </c>
      <c r="Q325" s="42" t="n">
        <f aca="false">ROUND(AA325-G325,2)</f>
        <v>0</v>
      </c>
      <c r="R325" s="42" t="n">
        <f aca="false">ROUND(AB325-H325,2)</f>
        <v>0</v>
      </c>
      <c r="S325" s="42" t="n">
        <f aca="false">ROUND(AC325-I325,2)</f>
        <v>0</v>
      </c>
      <c r="T325" s="42" t="n">
        <f aca="false">ROUND(AD325-J325,2)</f>
        <v>0</v>
      </c>
      <c r="U325" s="42" t="n">
        <f aca="false">ROUND(AE325-K325,2)</f>
        <v>0</v>
      </c>
      <c r="V325" s="42" t="n">
        <f aca="false">ROUND(AF325-L325,2)</f>
        <v>0</v>
      </c>
      <c r="W325" s="42" t="n">
        <f aca="false">ROUND(AG325-M325,2)</f>
        <v>0</v>
      </c>
      <c r="X325" s="42" t="n">
        <f aca="false">ROUND(AH325-N325,2)</f>
        <v>0</v>
      </c>
      <c r="Y325" s="42" t="n">
        <f aca="false">ROUND(AI325-O325,2)</f>
        <v>0</v>
      </c>
      <c r="Z325" s="56" t="n">
        <f aca="false">ROUND(P324*(1+N(Debts!$D$5)/12),2)</f>
        <v>0</v>
      </c>
      <c r="AA325" s="56" t="n">
        <f aca="false">ROUND(Q324*(1+N(Debts!$D$6)/12),2)</f>
        <v>0</v>
      </c>
      <c r="AB325" s="56" t="n">
        <f aca="false">ROUND(R324*(1+N(Debts!$D$7)/12),2)</f>
        <v>0</v>
      </c>
      <c r="AC325" s="56" t="n">
        <f aca="false">ROUND(S324*(1+N(Debts!$D$8)/12),2)</f>
        <v>0</v>
      </c>
      <c r="AD325" s="56" t="n">
        <f aca="false">ROUND(T324*(1+N(Debts!$D$9)/12),2)</f>
        <v>0</v>
      </c>
      <c r="AE325" s="56" t="n">
        <f aca="false">ROUND(U324*(1+N(Debts!$D$10)/12),2)</f>
        <v>0</v>
      </c>
      <c r="AF325" s="56" t="n">
        <f aca="false">ROUND(V324*(1+N(Debts!$D$11)/12),2)</f>
        <v>0</v>
      </c>
      <c r="AG325" s="56" t="n">
        <f aca="false">ROUND(W324*(1+N(Debts!$D$12)/12),2)</f>
        <v>0</v>
      </c>
      <c r="AH325" s="56" t="n">
        <f aca="false">ROUND(X324*(1+N(Debts!$D$13)/12),2)</f>
        <v>0</v>
      </c>
      <c r="AI325" s="56" t="n">
        <f aca="false">ROUND(Y324*(1+N(Debts!$D$14)/12),2)</f>
        <v>0</v>
      </c>
      <c r="AJ325" s="56" t="n">
        <f aca="false">MIN(Z325,MAX(0,N(Debts!$E$5)))</f>
        <v>0</v>
      </c>
      <c r="AK325" s="56" t="n">
        <f aca="false">MIN(AA325,MAX(0,N(Debts!$E$6)))</f>
        <v>0</v>
      </c>
      <c r="AL325" s="56" t="n">
        <f aca="false">MIN(AB325,MAX(0,N(Debts!$E$7)))</f>
        <v>0</v>
      </c>
      <c r="AM325" s="56" t="n">
        <f aca="false">MIN(AC325,MAX(0,N(Debts!$E$8)))</f>
        <v>0</v>
      </c>
      <c r="AN325" s="56" t="n">
        <f aca="false">MIN(AD325,MAX(0,N(Debts!$E$9)))</f>
        <v>0</v>
      </c>
      <c r="AO325" s="56" t="n">
        <f aca="false">MIN(AE325,MAX(0,N(Debts!$E$10)))</f>
        <v>0</v>
      </c>
      <c r="AP325" s="56" t="n">
        <f aca="false">MIN(AF325,MAX(0,N(Debts!$E$11)))</f>
        <v>0</v>
      </c>
      <c r="AQ325" s="56" t="n">
        <f aca="false">MIN(AG325,MAX(0,N(Debts!$E$12)))</f>
        <v>0</v>
      </c>
      <c r="AR325" s="56" t="n">
        <f aca="false">MIN(AH325,MAX(0,N(Debts!$E$13)))</f>
        <v>0</v>
      </c>
      <c r="AS325" s="56" t="n">
        <f aca="false">MIN(AI325,MAX(0,N(Debts!$E$14)))</f>
        <v>0</v>
      </c>
    </row>
    <row r="326" customFormat="false" ht="15" hidden="false" customHeight="false" outlineLevel="0" collapsed="false">
      <c r="A326" s="53" t="n">
        <v>322</v>
      </c>
      <c r="B326" s="54" t="n">
        <f aca="false">EDATE('Start Here'!$B$8,321)</f>
        <v>56097</v>
      </c>
      <c r="C326" s="42" t="n">
        <f aca="false">SUM(F326:O326)</f>
        <v>0</v>
      </c>
      <c r="D326" s="42" t="n">
        <f aca="false">ROUND(SUM($Z326:$AI326)-SUM(P325:Y325),2)</f>
        <v>0</v>
      </c>
      <c r="E326" s="55" t="n">
        <f aca="false">SUM(P326:Y326)</f>
        <v>0</v>
      </c>
      <c r="F326" s="42" t="n">
        <f aca="false">AJ326+MIN(Z326-AJ326,MAX(0,'Start Here'!$B$10-SUM($AJ326:$AS326)-SUMPRODUCT(($Z$3:$AI$3&lt;Z$3)*($Z326:$AI326-$AJ326:$AS326))))</f>
        <v>0</v>
      </c>
      <c r="G326" s="42" t="n">
        <f aca="false">AK326+MIN(AA326-AK326,MAX(0,'Start Here'!$B$10-SUM($AJ326:$AS326)-SUMPRODUCT(($Z$3:$AI$3&lt;AA$3)*($Z326:$AI326-$AJ326:$AS326))))</f>
        <v>0</v>
      </c>
      <c r="H326" s="42" t="n">
        <f aca="false">AL326+MIN(AB326-AL326,MAX(0,'Start Here'!$B$10-SUM($AJ326:$AS326)-SUMPRODUCT(($Z$3:$AI$3&lt;AB$3)*($Z326:$AI326-$AJ326:$AS326))))</f>
        <v>0</v>
      </c>
      <c r="I326" s="42" t="n">
        <f aca="false">AM326+MIN(AC326-AM326,MAX(0,'Start Here'!$B$10-SUM($AJ326:$AS326)-SUMPRODUCT(($Z$3:$AI$3&lt;AC$3)*($Z326:$AI326-$AJ326:$AS326))))</f>
        <v>0</v>
      </c>
      <c r="J326" s="42" t="n">
        <f aca="false">AN326+MIN(AD326-AN326,MAX(0,'Start Here'!$B$10-SUM($AJ326:$AS326)-SUMPRODUCT(($Z$3:$AI$3&lt;AD$3)*($Z326:$AI326-$AJ326:$AS326))))</f>
        <v>0</v>
      </c>
      <c r="K326" s="42" t="n">
        <f aca="false">AO326+MIN(AE326-AO326,MAX(0,'Start Here'!$B$10-SUM($AJ326:$AS326)-SUMPRODUCT(($Z$3:$AI$3&lt;AE$3)*($Z326:$AI326-$AJ326:$AS326))))</f>
        <v>0</v>
      </c>
      <c r="L326" s="42" t="n">
        <f aca="false">AP326+MIN(AF326-AP326,MAX(0,'Start Here'!$B$10-SUM($AJ326:$AS326)-SUMPRODUCT(($Z$3:$AI$3&lt;AF$3)*($Z326:$AI326-$AJ326:$AS326))))</f>
        <v>0</v>
      </c>
      <c r="M326" s="42" t="n">
        <f aca="false">AQ326+MIN(AG326-AQ326,MAX(0,'Start Here'!$B$10-SUM($AJ326:$AS326)-SUMPRODUCT(($Z$3:$AI$3&lt;AG$3)*($Z326:$AI326-$AJ326:$AS326))))</f>
        <v>0</v>
      </c>
      <c r="N326" s="42" t="n">
        <f aca="false">AR326+MIN(AH326-AR326,MAX(0,'Start Here'!$B$10-SUM($AJ326:$AS326)-SUMPRODUCT(($Z$3:$AI$3&lt;AH$3)*($Z326:$AI326-$AJ326:$AS326))))</f>
        <v>0</v>
      </c>
      <c r="O326" s="42" t="n">
        <f aca="false">AS326+MIN(AI326-AS326,MAX(0,'Start Here'!$B$10-SUM($AJ326:$AS326)-SUMPRODUCT(($Z$3:$AI$3&lt;AI$3)*($Z326:$AI326-$AJ326:$AS326))))</f>
        <v>0</v>
      </c>
      <c r="P326" s="42" t="n">
        <f aca="false">ROUND(Z326-F326,2)</f>
        <v>0</v>
      </c>
      <c r="Q326" s="42" t="n">
        <f aca="false">ROUND(AA326-G326,2)</f>
        <v>0</v>
      </c>
      <c r="R326" s="42" t="n">
        <f aca="false">ROUND(AB326-H326,2)</f>
        <v>0</v>
      </c>
      <c r="S326" s="42" t="n">
        <f aca="false">ROUND(AC326-I326,2)</f>
        <v>0</v>
      </c>
      <c r="T326" s="42" t="n">
        <f aca="false">ROUND(AD326-J326,2)</f>
        <v>0</v>
      </c>
      <c r="U326" s="42" t="n">
        <f aca="false">ROUND(AE326-K326,2)</f>
        <v>0</v>
      </c>
      <c r="V326" s="42" t="n">
        <f aca="false">ROUND(AF326-L326,2)</f>
        <v>0</v>
      </c>
      <c r="W326" s="42" t="n">
        <f aca="false">ROUND(AG326-M326,2)</f>
        <v>0</v>
      </c>
      <c r="X326" s="42" t="n">
        <f aca="false">ROUND(AH326-N326,2)</f>
        <v>0</v>
      </c>
      <c r="Y326" s="42" t="n">
        <f aca="false">ROUND(AI326-O326,2)</f>
        <v>0</v>
      </c>
      <c r="Z326" s="56" t="n">
        <f aca="false">ROUND(P325*(1+N(Debts!$D$5)/12),2)</f>
        <v>0</v>
      </c>
      <c r="AA326" s="56" t="n">
        <f aca="false">ROUND(Q325*(1+N(Debts!$D$6)/12),2)</f>
        <v>0</v>
      </c>
      <c r="AB326" s="56" t="n">
        <f aca="false">ROUND(R325*(1+N(Debts!$D$7)/12),2)</f>
        <v>0</v>
      </c>
      <c r="AC326" s="56" t="n">
        <f aca="false">ROUND(S325*(1+N(Debts!$D$8)/12),2)</f>
        <v>0</v>
      </c>
      <c r="AD326" s="56" t="n">
        <f aca="false">ROUND(T325*(1+N(Debts!$D$9)/12),2)</f>
        <v>0</v>
      </c>
      <c r="AE326" s="56" t="n">
        <f aca="false">ROUND(U325*(1+N(Debts!$D$10)/12),2)</f>
        <v>0</v>
      </c>
      <c r="AF326" s="56" t="n">
        <f aca="false">ROUND(V325*(1+N(Debts!$D$11)/12),2)</f>
        <v>0</v>
      </c>
      <c r="AG326" s="56" t="n">
        <f aca="false">ROUND(W325*(1+N(Debts!$D$12)/12),2)</f>
        <v>0</v>
      </c>
      <c r="AH326" s="56" t="n">
        <f aca="false">ROUND(X325*(1+N(Debts!$D$13)/12),2)</f>
        <v>0</v>
      </c>
      <c r="AI326" s="56" t="n">
        <f aca="false">ROUND(Y325*(1+N(Debts!$D$14)/12),2)</f>
        <v>0</v>
      </c>
      <c r="AJ326" s="56" t="n">
        <f aca="false">MIN(Z326,MAX(0,N(Debts!$E$5)))</f>
        <v>0</v>
      </c>
      <c r="AK326" s="56" t="n">
        <f aca="false">MIN(AA326,MAX(0,N(Debts!$E$6)))</f>
        <v>0</v>
      </c>
      <c r="AL326" s="56" t="n">
        <f aca="false">MIN(AB326,MAX(0,N(Debts!$E$7)))</f>
        <v>0</v>
      </c>
      <c r="AM326" s="56" t="n">
        <f aca="false">MIN(AC326,MAX(0,N(Debts!$E$8)))</f>
        <v>0</v>
      </c>
      <c r="AN326" s="56" t="n">
        <f aca="false">MIN(AD326,MAX(0,N(Debts!$E$9)))</f>
        <v>0</v>
      </c>
      <c r="AO326" s="56" t="n">
        <f aca="false">MIN(AE326,MAX(0,N(Debts!$E$10)))</f>
        <v>0</v>
      </c>
      <c r="AP326" s="56" t="n">
        <f aca="false">MIN(AF326,MAX(0,N(Debts!$E$11)))</f>
        <v>0</v>
      </c>
      <c r="AQ326" s="56" t="n">
        <f aca="false">MIN(AG326,MAX(0,N(Debts!$E$12)))</f>
        <v>0</v>
      </c>
      <c r="AR326" s="56" t="n">
        <f aca="false">MIN(AH326,MAX(0,N(Debts!$E$13)))</f>
        <v>0</v>
      </c>
      <c r="AS326" s="56" t="n">
        <f aca="false">MIN(AI326,MAX(0,N(Debts!$E$14)))</f>
        <v>0</v>
      </c>
    </row>
    <row r="327" customFormat="false" ht="15" hidden="false" customHeight="false" outlineLevel="0" collapsed="false">
      <c r="A327" s="53" t="n">
        <v>323</v>
      </c>
      <c r="B327" s="54" t="n">
        <f aca="false">EDATE('Start Here'!$B$8,322)</f>
        <v>56128</v>
      </c>
      <c r="C327" s="42" t="n">
        <f aca="false">SUM(F327:O327)</f>
        <v>0</v>
      </c>
      <c r="D327" s="42" t="n">
        <f aca="false">ROUND(SUM($Z327:$AI327)-SUM(P326:Y326),2)</f>
        <v>0</v>
      </c>
      <c r="E327" s="55" t="n">
        <f aca="false">SUM(P327:Y327)</f>
        <v>0</v>
      </c>
      <c r="F327" s="42" t="n">
        <f aca="false">AJ327+MIN(Z327-AJ327,MAX(0,'Start Here'!$B$10-SUM($AJ327:$AS327)-SUMPRODUCT(($Z$3:$AI$3&lt;Z$3)*($Z327:$AI327-$AJ327:$AS327))))</f>
        <v>0</v>
      </c>
      <c r="G327" s="42" t="n">
        <f aca="false">AK327+MIN(AA327-AK327,MAX(0,'Start Here'!$B$10-SUM($AJ327:$AS327)-SUMPRODUCT(($Z$3:$AI$3&lt;AA$3)*($Z327:$AI327-$AJ327:$AS327))))</f>
        <v>0</v>
      </c>
      <c r="H327" s="42" t="n">
        <f aca="false">AL327+MIN(AB327-AL327,MAX(0,'Start Here'!$B$10-SUM($AJ327:$AS327)-SUMPRODUCT(($Z$3:$AI$3&lt;AB$3)*($Z327:$AI327-$AJ327:$AS327))))</f>
        <v>0</v>
      </c>
      <c r="I327" s="42" t="n">
        <f aca="false">AM327+MIN(AC327-AM327,MAX(0,'Start Here'!$B$10-SUM($AJ327:$AS327)-SUMPRODUCT(($Z$3:$AI$3&lt;AC$3)*($Z327:$AI327-$AJ327:$AS327))))</f>
        <v>0</v>
      </c>
      <c r="J327" s="42" t="n">
        <f aca="false">AN327+MIN(AD327-AN327,MAX(0,'Start Here'!$B$10-SUM($AJ327:$AS327)-SUMPRODUCT(($Z$3:$AI$3&lt;AD$3)*($Z327:$AI327-$AJ327:$AS327))))</f>
        <v>0</v>
      </c>
      <c r="K327" s="42" t="n">
        <f aca="false">AO327+MIN(AE327-AO327,MAX(0,'Start Here'!$B$10-SUM($AJ327:$AS327)-SUMPRODUCT(($Z$3:$AI$3&lt;AE$3)*($Z327:$AI327-$AJ327:$AS327))))</f>
        <v>0</v>
      </c>
      <c r="L327" s="42" t="n">
        <f aca="false">AP327+MIN(AF327-AP327,MAX(0,'Start Here'!$B$10-SUM($AJ327:$AS327)-SUMPRODUCT(($Z$3:$AI$3&lt;AF$3)*($Z327:$AI327-$AJ327:$AS327))))</f>
        <v>0</v>
      </c>
      <c r="M327" s="42" t="n">
        <f aca="false">AQ327+MIN(AG327-AQ327,MAX(0,'Start Here'!$B$10-SUM($AJ327:$AS327)-SUMPRODUCT(($Z$3:$AI$3&lt;AG$3)*($Z327:$AI327-$AJ327:$AS327))))</f>
        <v>0</v>
      </c>
      <c r="N327" s="42" t="n">
        <f aca="false">AR327+MIN(AH327-AR327,MAX(0,'Start Here'!$B$10-SUM($AJ327:$AS327)-SUMPRODUCT(($Z$3:$AI$3&lt;AH$3)*($Z327:$AI327-$AJ327:$AS327))))</f>
        <v>0</v>
      </c>
      <c r="O327" s="42" t="n">
        <f aca="false">AS327+MIN(AI327-AS327,MAX(0,'Start Here'!$B$10-SUM($AJ327:$AS327)-SUMPRODUCT(($Z$3:$AI$3&lt;AI$3)*($Z327:$AI327-$AJ327:$AS327))))</f>
        <v>0</v>
      </c>
      <c r="P327" s="42" t="n">
        <f aca="false">ROUND(Z327-F327,2)</f>
        <v>0</v>
      </c>
      <c r="Q327" s="42" t="n">
        <f aca="false">ROUND(AA327-G327,2)</f>
        <v>0</v>
      </c>
      <c r="R327" s="42" t="n">
        <f aca="false">ROUND(AB327-H327,2)</f>
        <v>0</v>
      </c>
      <c r="S327" s="42" t="n">
        <f aca="false">ROUND(AC327-I327,2)</f>
        <v>0</v>
      </c>
      <c r="T327" s="42" t="n">
        <f aca="false">ROUND(AD327-J327,2)</f>
        <v>0</v>
      </c>
      <c r="U327" s="42" t="n">
        <f aca="false">ROUND(AE327-K327,2)</f>
        <v>0</v>
      </c>
      <c r="V327" s="42" t="n">
        <f aca="false">ROUND(AF327-L327,2)</f>
        <v>0</v>
      </c>
      <c r="W327" s="42" t="n">
        <f aca="false">ROUND(AG327-M327,2)</f>
        <v>0</v>
      </c>
      <c r="X327" s="42" t="n">
        <f aca="false">ROUND(AH327-N327,2)</f>
        <v>0</v>
      </c>
      <c r="Y327" s="42" t="n">
        <f aca="false">ROUND(AI327-O327,2)</f>
        <v>0</v>
      </c>
      <c r="Z327" s="56" t="n">
        <f aca="false">ROUND(P326*(1+N(Debts!$D$5)/12),2)</f>
        <v>0</v>
      </c>
      <c r="AA327" s="56" t="n">
        <f aca="false">ROUND(Q326*(1+N(Debts!$D$6)/12),2)</f>
        <v>0</v>
      </c>
      <c r="AB327" s="56" t="n">
        <f aca="false">ROUND(R326*(1+N(Debts!$D$7)/12),2)</f>
        <v>0</v>
      </c>
      <c r="AC327" s="56" t="n">
        <f aca="false">ROUND(S326*(1+N(Debts!$D$8)/12),2)</f>
        <v>0</v>
      </c>
      <c r="AD327" s="56" t="n">
        <f aca="false">ROUND(T326*(1+N(Debts!$D$9)/12),2)</f>
        <v>0</v>
      </c>
      <c r="AE327" s="56" t="n">
        <f aca="false">ROUND(U326*(1+N(Debts!$D$10)/12),2)</f>
        <v>0</v>
      </c>
      <c r="AF327" s="56" t="n">
        <f aca="false">ROUND(V326*(1+N(Debts!$D$11)/12),2)</f>
        <v>0</v>
      </c>
      <c r="AG327" s="56" t="n">
        <f aca="false">ROUND(W326*(1+N(Debts!$D$12)/12),2)</f>
        <v>0</v>
      </c>
      <c r="AH327" s="56" t="n">
        <f aca="false">ROUND(X326*(1+N(Debts!$D$13)/12),2)</f>
        <v>0</v>
      </c>
      <c r="AI327" s="56" t="n">
        <f aca="false">ROUND(Y326*(1+N(Debts!$D$14)/12),2)</f>
        <v>0</v>
      </c>
      <c r="AJ327" s="56" t="n">
        <f aca="false">MIN(Z327,MAX(0,N(Debts!$E$5)))</f>
        <v>0</v>
      </c>
      <c r="AK327" s="56" t="n">
        <f aca="false">MIN(AA327,MAX(0,N(Debts!$E$6)))</f>
        <v>0</v>
      </c>
      <c r="AL327" s="56" t="n">
        <f aca="false">MIN(AB327,MAX(0,N(Debts!$E$7)))</f>
        <v>0</v>
      </c>
      <c r="AM327" s="56" t="n">
        <f aca="false">MIN(AC327,MAX(0,N(Debts!$E$8)))</f>
        <v>0</v>
      </c>
      <c r="AN327" s="56" t="n">
        <f aca="false">MIN(AD327,MAX(0,N(Debts!$E$9)))</f>
        <v>0</v>
      </c>
      <c r="AO327" s="56" t="n">
        <f aca="false">MIN(AE327,MAX(0,N(Debts!$E$10)))</f>
        <v>0</v>
      </c>
      <c r="AP327" s="56" t="n">
        <f aca="false">MIN(AF327,MAX(0,N(Debts!$E$11)))</f>
        <v>0</v>
      </c>
      <c r="AQ327" s="56" t="n">
        <f aca="false">MIN(AG327,MAX(0,N(Debts!$E$12)))</f>
        <v>0</v>
      </c>
      <c r="AR327" s="56" t="n">
        <f aca="false">MIN(AH327,MAX(0,N(Debts!$E$13)))</f>
        <v>0</v>
      </c>
      <c r="AS327" s="56" t="n">
        <f aca="false">MIN(AI327,MAX(0,N(Debts!$E$14)))</f>
        <v>0</v>
      </c>
    </row>
    <row r="328" customFormat="false" ht="15" hidden="false" customHeight="false" outlineLevel="0" collapsed="false">
      <c r="A328" s="53" t="n">
        <v>324</v>
      </c>
      <c r="B328" s="54" t="n">
        <f aca="false">EDATE('Start Here'!$B$8,323)</f>
        <v>56158</v>
      </c>
      <c r="C328" s="42" t="n">
        <f aca="false">SUM(F328:O328)</f>
        <v>0</v>
      </c>
      <c r="D328" s="42" t="n">
        <f aca="false">ROUND(SUM($Z328:$AI328)-SUM(P327:Y327),2)</f>
        <v>0</v>
      </c>
      <c r="E328" s="55" t="n">
        <f aca="false">SUM(P328:Y328)</f>
        <v>0</v>
      </c>
      <c r="F328" s="42" t="n">
        <f aca="false">AJ328+MIN(Z328-AJ328,MAX(0,'Start Here'!$B$10-SUM($AJ328:$AS328)-SUMPRODUCT(($Z$3:$AI$3&lt;Z$3)*($Z328:$AI328-$AJ328:$AS328))))</f>
        <v>0</v>
      </c>
      <c r="G328" s="42" t="n">
        <f aca="false">AK328+MIN(AA328-AK328,MAX(0,'Start Here'!$B$10-SUM($AJ328:$AS328)-SUMPRODUCT(($Z$3:$AI$3&lt;AA$3)*($Z328:$AI328-$AJ328:$AS328))))</f>
        <v>0</v>
      </c>
      <c r="H328" s="42" t="n">
        <f aca="false">AL328+MIN(AB328-AL328,MAX(0,'Start Here'!$B$10-SUM($AJ328:$AS328)-SUMPRODUCT(($Z$3:$AI$3&lt;AB$3)*($Z328:$AI328-$AJ328:$AS328))))</f>
        <v>0</v>
      </c>
      <c r="I328" s="42" t="n">
        <f aca="false">AM328+MIN(AC328-AM328,MAX(0,'Start Here'!$B$10-SUM($AJ328:$AS328)-SUMPRODUCT(($Z$3:$AI$3&lt;AC$3)*($Z328:$AI328-$AJ328:$AS328))))</f>
        <v>0</v>
      </c>
      <c r="J328" s="42" t="n">
        <f aca="false">AN328+MIN(AD328-AN328,MAX(0,'Start Here'!$B$10-SUM($AJ328:$AS328)-SUMPRODUCT(($Z$3:$AI$3&lt;AD$3)*($Z328:$AI328-$AJ328:$AS328))))</f>
        <v>0</v>
      </c>
      <c r="K328" s="42" t="n">
        <f aca="false">AO328+MIN(AE328-AO328,MAX(0,'Start Here'!$B$10-SUM($AJ328:$AS328)-SUMPRODUCT(($Z$3:$AI$3&lt;AE$3)*($Z328:$AI328-$AJ328:$AS328))))</f>
        <v>0</v>
      </c>
      <c r="L328" s="42" t="n">
        <f aca="false">AP328+MIN(AF328-AP328,MAX(0,'Start Here'!$B$10-SUM($AJ328:$AS328)-SUMPRODUCT(($Z$3:$AI$3&lt;AF$3)*($Z328:$AI328-$AJ328:$AS328))))</f>
        <v>0</v>
      </c>
      <c r="M328" s="42" t="n">
        <f aca="false">AQ328+MIN(AG328-AQ328,MAX(0,'Start Here'!$B$10-SUM($AJ328:$AS328)-SUMPRODUCT(($Z$3:$AI$3&lt;AG$3)*($Z328:$AI328-$AJ328:$AS328))))</f>
        <v>0</v>
      </c>
      <c r="N328" s="42" t="n">
        <f aca="false">AR328+MIN(AH328-AR328,MAX(0,'Start Here'!$B$10-SUM($AJ328:$AS328)-SUMPRODUCT(($Z$3:$AI$3&lt;AH$3)*($Z328:$AI328-$AJ328:$AS328))))</f>
        <v>0</v>
      </c>
      <c r="O328" s="42" t="n">
        <f aca="false">AS328+MIN(AI328-AS328,MAX(0,'Start Here'!$B$10-SUM($AJ328:$AS328)-SUMPRODUCT(($Z$3:$AI$3&lt;AI$3)*($Z328:$AI328-$AJ328:$AS328))))</f>
        <v>0</v>
      </c>
      <c r="P328" s="42" t="n">
        <f aca="false">ROUND(Z328-F328,2)</f>
        <v>0</v>
      </c>
      <c r="Q328" s="42" t="n">
        <f aca="false">ROUND(AA328-G328,2)</f>
        <v>0</v>
      </c>
      <c r="R328" s="42" t="n">
        <f aca="false">ROUND(AB328-H328,2)</f>
        <v>0</v>
      </c>
      <c r="S328" s="42" t="n">
        <f aca="false">ROUND(AC328-I328,2)</f>
        <v>0</v>
      </c>
      <c r="T328" s="42" t="n">
        <f aca="false">ROUND(AD328-J328,2)</f>
        <v>0</v>
      </c>
      <c r="U328" s="42" t="n">
        <f aca="false">ROUND(AE328-K328,2)</f>
        <v>0</v>
      </c>
      <c r="V328" s="42" t="n">
        <f aca="false">ROUND(AF328-L328,2)</f>
        <v>0</v>
      </c>
      <c r="W328" s="42" t="n">
        <f aca="false">ROUND(AG328-M328,2)</f>
        <v>0</v>
      </c>
      <c r="X328" s="42" t="n">
        <f aca="false">ROUND(AH328-N328,2)</f>
        <v>0</v>
      </c>
      <c r="Y328" s="42" t="n">
        <f aca="false">ROUND(AI328-O328,2)</f>
        <v>0</v>
      </c>
      <c r="Z328" s="56" t="n">
        <f aca="false">ROUND(P327*(1+N(Debts!$D$5)/12),2)</f>
        <v>0</v>
      </c>
      <c r="AA328" s="56" t="n">
        <f aca="false">ROUND(Q327*(1+N(Debts!$D$6)/12),2)</f>
        <v>0</v>
      </c>
      <c r="AB328" s="56" t="n">
        <f aca="false">ROUND(R327*(1+N(Debts!$D$7)/12),2)</f>
        <v>0</v>
      </c>
      <c r="AC328" s="56" t="n">
        <f aca="false">ROUND(S327*(1+N(Debts!$D$8)/12),2)</f>
        <v>0</v>
      </c>
      <c r="AD328" s="56" t="n">
        <f aca="false">ROUND(T327*(1+N(Debts!$D$9)/12),2)</f>
        <v>0</v>
      </c>
      <c r="AE328" s="56" t="n">
        <f aca="false">ROUND(U327*(1+N(Debts!$D$10)/12),2)</f>
        <v>0</v>
      </c>
      <c r="AF328" s="56" t="n">
        <f aca="false">ROUND(V327*(1+N(Debts!$D$11)/12),2)</f>
        <v>0</v>
      </c>
      <c r="AG328" s="56" t="n">
        <f aca="false">ROUND(W327*(1+N(Debts!$D$12)/12),2)</f>
        <v>0</v>
      </c>
      <c r="AH328" s="56" t="n">
        <f aca="false">ROUND(X327*(1+N(Debts!$D$13)/12),2)</f>
        <v>0</v>
      </c>
      <c r="AI328" s="56" t="n">
        <f aca="false">ROUND(Y327*(1+N(Debts!$D$14)/12),2)</f>
        <v>0</v>
      </c>
      <c r="AJ328" s="56" t="n">
        <f aca="false">MIN(Z328,MAX(0,N(Debts!$E$5)))</f>
        <v>0</v>
      </c>
      <c r="AK328" s="56" t="n">
        <f aca="false">MIN(AA328,MAX(0,N(Debts!$E$6)))</f>
        <v>0</v>
      </c>
      <c r="AL328" s="56" t="n">
        <f aca="false">MIN(AB328,MAX(0,N(Debts!$E$7)))</f>
        <v>0</v>
      </c>
      <c r="AM328" s="56" t="n">
        <f aca="false">MIN(AC328,MAX(0,N(Debts!$E$8)))</f>
        <v>0</v>
      </c>
      <c r="AN328" s="56" t="n">
        <f aca="false">MIN(AD328,MAX(0,N(Debts!$E$9)))</f>
        <v>0</v>
      </c>
      <c r="AO328" s="56" t="n">
        <f aca="false">MIN(AE328,MAX(0,N(Debts!$E$10)))</f>
        <v>0</v>
      </c>
      <c r="AP328" s="56" t="n">
        <f aca="false">MIN(AF328,MAX(0,N(Debts!$E$11)))</f>
        <v>0</v>
      </c>
      <c r="AQ328" s="56" t="n">
        <f aca="false">MIN(AG328,MAX(0,N(Debts!$E$12)))</f>
        <v>0</v>
      </c>
      <c r="AR328" s="56" t="n">
        <f aca="false">MIN(AH328,MAX(0,N(Debts!$E$13)))</f>
        <v>0</v>
      </c>
      <c r="AS328" s="56" t="n">
        <f aca="false">MIN(AI328,MAX(0,N(Debts!$E$14)))</f>
        <v>0</v>
      </c>
    </row>
    <row r="329" customFormat="false" ht="15" hidden="false" customHeight="false" outlineLevel="0" collapsed="false">
      <c r="A329" s="53" t="n">
        <v>325</v>
      </c>
      <c r="B329" s="54" t="n">
        <f aca="false">EDATE('Start Here'!$B$8,324)</f>
        <v>56189</v>
      </c>
      <c r="C329" s="42" t="n">
        <f aca="false">SUM(F329:O329)</f>
        <v>0</v>
      </c>
      <c r="D329" s="42" t="n">
        <f aca="false">ROUND(SUM($Z329:$AI329)-SUM(P328:Y328),2)</f>
        <v>0</v>
      </c>
      <c r="E329" s="55" t="n">
        <f aca="false">SUM(P329:Y329)</f>
        <v>0</v>
      </c>
      <c r="F329" s="42" t="n">
        <f aca="false">AJ329+MIN(Z329-AJ329,MAX(0,'Start Here'!$B$10-SUM($AJ329:$AS329)-SUMPRODUCT(($Z$3:$AI$3&lt;Z$3)*($Z329:$AI329-$AJ329:$AS329))))</f>
        <v>0</v>
      </c>
      <c r="G329" s="42" t="n">
        <f aca="false">AK329+MIN(AA329-AK329,MAX(0,'Start Here'!$B$10-SUM($AJ329:$AS329)-SUMPRODUCT(($Z$3:$AI$3&lt;AA$3)*($Z329:$AI329-$AJ329:$AS329))))</f>
        <v>0</v>
      </c>
      <c r="H329" s="42" t="n">
        <f aca="false">AL329+MIN(AB329-AL329,MAX(0,'Start Here'!$B$10-SUM($AJ329:$AS329)-SUMPRODUCT(($Z$3:$AI$3&lt;AB$3)*($Z329:$AI329-$AJ329:$AS329))))</f>
        <v>0</v>
      </c>
      <c r="I329" s="42" t="n">
        <f aca="false">AM329+MIN(AC329-AM329,MAX(0,'Start Here'!$B$10-SUM($AJ329:$AS329)-SUMPRODUCT(($Z$3:$AI$3&lt;AC$3)*($Z329:$AI329-$AJ329:$AS329))))</f>
        <v>0</v>
      </c>
      <c r="J329" s="42" t="n">
        <f aca="false">AN329+MIN(AD329-AN329,MAX(0,'Start Here'!$B$10-SUM($AJ329:$AS329)-SUMPRODUCT(($Z$3:$AI$3&lt;AD$3)*($Z329:$AI329-$AJ329:$AS329))))</f>
        <v>0</v>
      </c>
      <c r="K329" s="42" t="n">
        <f aca="false">AO329+MIN(AE329-AO329,MAX(0,'Start Here'!$B$10-SUM($AJ329:$AS329)-SUMPRODUCT(($Z$3:$AI$3&lt;AE$3)*($Z329:$AI329-$AJ329:$AS329))))</f>
        <v>0</v>
      </c>
      <c r="L329" s="42" t="n">
        <f aca="false">AP329+MIN(AF329-AP329,MAX(0,'Start Here'!$B$10-SUM($AJ329:$AS329)-SUMPRODUCT(($Z$3:$AI$3&lt;AF$3)*($Z329:$AI329-$AJ329:$AS329))))</f>
        <v>0</v>
      </c>
      <c r="M329" s="42" t="n">
        <f aca="false">AQ329+MIN(AG329-AQ329,MAX(0,'Start Here'!$B$10-SUM($AJ329:$AS329)-SUMPRODUCT(($Z$3:$AI$3&lt;AG$3)*($Z329:$AI329-$AJ329:$AS329))))</f>
        <v>0</v>
      </c>
      <c r="N329" s="42" t="n">
        <f aca="false">AR329+MIN(AH329-AR329,MAX(0,'Start Here'!$B$10-SUM($AJ329:$AS329)-SUMPRODUCT(($Z$3:$AI$3&lt;AH$3)*($Z329:$AI329-$AJ329:$AS329))))</f>
        <v>0</v>
      </c>
      <c r="O329" s="42" t="n">
        <f aca="false">AS329+MIN(AI329-AS329,MAX(0,'Start Here'!$B$10-SUM($AJ329:$AS329)-SUMPRODUCT(($Z$3:$AI$3&lt;AI$3)*($Z329:$AI329-$AJ329:$AS329))))</f>
        <v>0</v>
      </c>
      <c r="P329" s="42" t="n">
        <f aca="false">ROUND(Z329-F329,2)</f>
        <v>0</v>
      </c>
      <c r="Q329" s="42" t="n">
        <f aca="false">ROUND(AA329-G329,2)</f>
        <v>0</v>
      </c>
      <c r="R329" s="42" t="n">
        <f aca="false">ROUND(AB329-H329,2)</f>
        <v>0</v>
      </c>
      <c r="S329" s="42" t="n">
        <f aca="false">ROUND(AC329-I329,2)</f>
        <v>0</v>
      </c>
      <c r="T329" s="42" t="n">
        <f aca="false">ROUND(AD329-J329,2)</f>
        <v>0</v>
      </c>
      <c r="U329" s="42" t="n">
        <f aca="false">ROUND(AE329-K329,2)</f>
        <v>0</v>
      </c>
      <c r="V329" s="42" t="n">
        <f aca="false">ROUND(AF329-L329,2)</f>
        <v>0</v>
      </c>
      <c r="W329" s="42" t="n">
        <f aca="false">ROUND(AG329-M329,2)</f>
        <v>0</v>
      </c>
      <c r="X329" s="42" t="n">
        <f aca="false">ROUND(AH329-N329,2)</f>
        <v>0</v>
      </c>
      <c r="Y329" s="42" t="n">
        <f aca="false">ROUND(AI329-O329,2)</f>
        <v>0</v>
      </c>
      <c r="Z329" s="56" t="n">
        <f aca="false">ROUND(P328*(1+N(Debts!$D$5)/12),2)</f>
        <v>0</v>
      </c>
      <c r="AA329" s="56" t="n">
        <f aca="false">ROUND(Q328*(1+N(Debts!$D$6)/12),2)</f>
        <v>0</v>
      </c>
      <c r="AB329" s="56" t="n">
        <f aca="false">ROUND(R328*(1+N(Debts!$D$7)/12),2)</f>
        <v>0</v>
      </c>
      <c r="AC329" s="56" t="n">
        <f aca="false">ROUND(S328*(1+N(Debts!$D$8)/12),2)</f>
        <v>0</v>
      </c>
      <c r="AD329" s="56" t="n">
        <f aca="false">ROUND(T328*(1+N(Debts!$D$9)/12),2)</f>
        <v>0</v>
      </c>
      <c r="AE329" s="56" t="n">
        <f aca="false">ROUND(U328*(1+N(Debts!$D$10)/12),2)</f>
        <v>0</v>
      </c>
      <c r="AF329" s="56" t="n">
        <f aca="false">ROUND(V328*(1+N(Debts!$D$11)/12),2)</f>
        <v>0</v>
      </c>
      <c r="AG329" s="56" t="n">
        <f aca="false">ROUND(W328*(1+N(Debts!$D$12)/12),2)</f>
        <v>0</v>
      </c>
      <c r="AH329" s="56" t="n">
        <f aca="false">ROUND(X328*(1+N(Debts!$D$13)/12),2)</f>
        <v>0</v>
      </c>
      <c r="AI329" s="56" t="n">
        <f aca="false">ROUND(Y328*(1+N(Debts!$D$14)/12),2)</f>
        <v>0</v>
      </c>
      <c r="AJ329" s="56" t="n">
        <f aca="false">MIN(Z329,MAX(0,N(Debts!$E$5)))</f>
        <v>0</v>
      </c>
      <c r="AK329" s="56" t="n">
        <f aca="false">MIN(AA329,MAX(0,N(Debts!$E$6)))</f>
        <v>0</v>
      </c>
      <c r="AL329" s="56" t="n">
        <f aca="false">MIN(AB329,MAX(0,N(Debts!$E$7)))</f>
        <v>0</v>
      </c>
      <c r="AM329" s="56" t="n">
        <f aca="false">MIN(AC329,MAX(0,N(Debts!$E$8)))</f>
        <v>0</v>
      </c>
      <c r="AN329" s="56" t="n">
        <f aca="false">MIN(AD329,MAX(0,N(Debts!$E$9)))</f>
        <v>0</v>
      </c>
      <c r="AO329" s="56" t="n">
        <f aca="false">MIN(AE329,MAX(0,N(Debts!$E$10)))</f>
        <v>0</v>
      </c>
      <c r="AP329" s="56" t="n">
        <f aca="false">MIN(AF329,MAX(0,N(Debts!$E$11)))</f>
        <v>0</v>
      </c>
      <c r="AQ329" s="56" t="n">
        <f aca="false">MIN(AG329,MAX(0,N(Debts!$E$12)))</f>
        <v>0</v>
      </c>
      <c r="AR329" s="56" t="n">
        <f aca="false">MIN(AH329,MAX(0,N(Debts!$E$13)))</f>
        <v>0</v>
      </c>
      <c r="AS329" s="56" t="n">
        <f aca="false">MIN(AI329,MAX(0,N(Debts!$E$14)))</f>
        <v>0</v>
      </c>
    </row>
    <row r="330" customFormat="false" ht="15" hidden="false" customHeight="false" outlineLevel="0" collapsed="false">
      <c r="A330" s="53" t="n">
        <v>326</v>
      </c>
      <c r="B330" s="54" t="n">
        <f aca="false">EDATE('Start Here'!$B$8,325)</f>
        <v>56219</v>
      </c>
      <c r="C330" s="42" t="n">
        <f aca="false">SUM(F330:O330)</f>
        <v>0</v>
      </c>
      <c r="D330" s="42" t="n">
        <f aca="false">ROUND(SUM($Z330:$AI330)-SUM(P329:Y329),2)</f>
        <v>0</v>
      </c>
      <c r="E330" s="55" t="n">
        <f aca="false">SUM(P330:Y330)</f>
        <v>0</v>
      </c>
      <c r="F330" s="42" t="n">
        <f aca="false">AJ330+MIN(Z330-AJ330,MAX(0,'Start Here'!$B$10-SUM($AJ330:$AS330)-SUMPRODUCT(($Z$3:$AI$3&lt;Z$3)*($Z330:$AI330-$AJ330:$AS330))))</f>
        <v>0</v>
      </c>
      <c r="G330" s="42" t="n">
        <f aca="false">AK330+MIN(AA330-AK330,MAX(0,'Start Here'!$B$10-SUM($AJ330:$AS330)-SUMPRODUCT(($Z$3:$AI$3&lt;AA$3)*($Z330:$AI330-$AJ330:$AS330))))</f>
        <v>0</v>
      </c>
      <c r="H330" s="42" t="n">
        <f aca="false">AL330+MIN(AB330-AL330,MAX(0,'Start Here'!$B$10-SUM($AJ330:$AS330)-SUMPRODUCT(($Z$3:$AI$3&lt;AB$3)*($Z330:$AI330-$AJ330:$AS330))))</f>
        <v>0</v>
      </c>
      <c r="I330" s="42" t="n">
        <f aca="false">AM330+MIN(AC330-AM330,MAX(0,'Start Here'!$B$10-SUM($AJ330:$AS330)-SUMPRODUCT(($Z$3:$AI$3&lt;AC$3)*($Z330:$AI330-$AJ330:$AS330))))</f>
        <v>0</v>
      </c>
      <c r="J330" s="42" t="n">
        <f aca="false">AN330+MIN(AD330-AN330,MAX(0,'Start Here'!$B$10-SUM($AJ330:$AS330)-SUMPRODUCT(($Z$3:$AI$3&lt;AD$3)*($Z330:$AI330-$AJ330:$AS330))))</f>
        <v>0</v>
      </c>
      <c r="K330" s="42" t="n">
        <f aca="false">AO330+MIN(AE330-AO330,MAX(0,'Start Here'!$B$10-SUM($AJ330:$AS330)-SUMPRODUCT(($Z$3:$AI$3&lt;AE$3)*($Z330:$AI330-$AJ330:$AS330))))</f>
        <v>0</v>
      </c>
      <c r="L330" s="42" t="n">
        <f aca="false">AP330+MIN(AF330-AP330,MAX(0,'Start Here'!$B$10-SUM($AJ330:$AS330)-SUMPRODUCT(($Z$3:$AI$3&lt;AF$3)*($Z330:$AI330-$AJ330:$AS330))))</f>
        <v>0</v>
      </c>
      <c r="M330" s="42" t="n">
        <f aca="false">AQ330+MIN(AG330-AQ330,MAX(0,'Start Here'!$B$10-SUM($AJ330:$AS330)-SUMPRODUCT(($Z$3:$AI$3&lt;AG$3)*($Z330:$AI330-$AJ330:$AS330))))</f>
        <v>0</v>
      </c>
      <c r="N330" s="42" t="n">
        <f aca="false">AR330+MIN(AH330-AR330,MAX(0,'Start Here'!$B$10-SUM($AJ330:$AS330)-SUMPRODUCT(($Z$3:$AI$3&lt;AH$3)*($Z330:$AI330-$AJ330:$AS330))))</f>
        <v>0</v>
      </c>
      <c r="O330" s="42" t="n">
        <f aca="false">AS330+MIN(AI330-AS330,MAX(0,'Start Here'!$B$10-SUM($AJ330:$AS330)-SUMPRODUCT(($Z$3:$AI$3&lt;AI$3)*($Z330:$AI330-$AJ330:$AS330))))</f>
        <v>0</v>
      </c>
      <c r="P330" s="42" t="n">
        <f aca="false">ROUND(Z330-F330,2)</f>
        <v>0</v>
      </c>
      <c r="Q330" s="42" t="n">
        <f aca="false">ROUND(AA330-G330,2)</f>
        <v>0</v>
      </c>
      <c r="R330" s="42" t="n">
        <f aca="false">ROUND(AB330-H330,2)</f>
        <v>0</v>
      </c>
      <c r="S330" s="42" t="n">
        <f aca="false">ROUND(AC330-I330,2)</f>
        <v>0</v>
      </c>
      <c r="T330" s="42" t="n">
        <f aca="false">ROUND(AD330-J330,2)</f>
        <v>0</v>
      </c>
      <c r="U330" s="42" t="n">
        <f aca="false">ROUND(AE330-K330,2)</f>
        <v>0</v>
      </c>
      <c r="V330" s="42" t="n">
        <f aca="false">ROUND(AF330-L330,2)</f>
        <v>0</v>
      </c>
      <c r="W330" s="42" t="n">
        <f aca="false">ROUND(AG330-M330,2)</f>
        <v>0</v>
      </c>
      <c r="X330" s="42" t="n">
        <f aca="false">ROUND(AH330-N330,2)</f>
        <v>0</v>
      </c>
      <c r="Y330" s="42" t="n">
        <f aca="false">ROUND(AI330-O330,2)</f>
        <v>0</v>
      </c>
      <c r="Z330" s="56" t="n">
        <f aca="false">ROUND(P329*(1+N(Debts!$D$5)/12),2)</f>
        <v>0</v>
      </c>
      <c r="AA330" s="56" t="n">
        <f aca="false">ROUND(Q329*(1+N(Debts!$D$6)/12),2)</f>
        <v>0</v>
      </c>
      <c r="AB330" s="56" t="n">
        <f aca="false">ROUND(R329*(1+N(Debts!$D$7)/12),2)</f>
        <v>0</v>
      </c>
      <c r="AC330" s="56" t="n">
        <f aca="false">ROUND(S329*(1+N(Debts!$D$8)/12),2)</f>
        <v>0</v>
      </c>
      <c r="AD330" s="56" t="n">
        <f aca="false">ROUND(T329*(1+N(Debts!$D$9)/12),2)</f>
        <v>0</v>
      </c>
      <c r="AE330" s="56" t="n">
        <f aca="false">ROUND(U329*(1+N(Debts!$D$10)/12),2)</f>
        <v>0</v>
      </c>
      <c r="AF330" s="56" t="n">
        <f aca="false">ROUND(V329*(1+N(Debts!$D$11)/12),2)</f>
        <v>0</v>
      </c>
      <c r="AG330" s="56" t="n">
        <f aca="false">ROUND(W329*(1+N(Debts!$D$12)/12),2)</f>
        <v>0</v>
      </c>
      <c r="AH330" s="56" t="n">
        <f aca="false">ROUND(X329*(1+N(Debts!$D$13)/12),2)</f>
        <v>0</v>
      </c>
      <c r="AI330" s="56" t="n">
        <f aca="false">ROUND(Y329*(1+N(Debts!$D$14)/12),2)</f>
        <v>0</v>
      </c>
      <c r="AJ330" s="56" t="n">
        <f aca="false">MIN(Z330,MAX(0,N(Debts!$E$5)))</f>
        <v>0</v>
      </c>
      <c r="AK330" s="56" t="n">
        <f aca="false">MIN(AA330,MAX(0,N(Debts!$E$6)))</f>
        <v>0</v>
      </c>
      <c r="AL330" s="56" t="n">
        <f aca="false">MIN(AB330,MAX(0,N(Debts!$E$7)))</f>
        <v>0</v>
      </c>
      <c r="AM330" s="56" t="n">
        <f aca="false">MIN(AC330,MAX(0,N(Debts!$E$8)))</f>
        <v>0</v>
      </c>
      <c r="AN330" s="56" t="n">
        <f aca="false">MIN(AD330,MAX(0,N(Debts!$E$9)))</f>
        <v>0</v>
      </c>
      <c r="AO330" s="56" t="n">
        <f aca="false">MIN(AE330,MAX(0,N(Debts!$E$10)))</f>
        <v>0</v>
      </c>
      <c r="AP330" s="56" t="n">
        <f aca="false">MIN(AF330,MAX(0,N(Debts!$E$11)))</f>
        <v>0</v>
      </c>
      <c r="AQ330" s="56" t="n">
        <f aca="false">MIN(AG330,MAX(0,N(Debts!$E$12)))</f>
        <v>0</v>
      </c>
      <c r="AR330" s="56" t="n">
        <f aca="false">MIN(AH330,MAX(0,N(Debts!$E$13)))</f>
        <v>0</v>
      </c>
      <c r="AS330" s="56" t="n">
        <f aca="false">MIN(AI330,MAX(0,N(Debts!$E$14)))</f>
        <v>0</v>
      </c>
    </row>
    <row r="331" customFormat="false" ht="15" hidden="false" customHeight="false" outlineLevel="0" collapsed="false">
      <c r="A331" s="53" t="n">
        <v>327</v>
      </c>
      <c r="B331" s="54" t="n">
        <f aca="false">EDATE('Start Here'!$B$8,326)</f>
        <v>56250</v>
      </c>
      <c r="C331" s="42" t="n">
        <f aca="false">SUM(F331:O331)</f>
        <v>0</v>
      </c>
      <c r="D331" s="42" t="n">
        <f aca="false">ROUND(SUM($Z331:$AI331)-SUM(P330:Y330),2)</f>
        <v>0</v>
      </c>
      <c r="E331" s="55" t="n">
        <f aca="false">SUM(P331:Y331)</f>
        <v>0</v>
      </c>
      <c r="F331" s="42" t="n">
        <f aca="false">AJ331+MIN(Z331-AJ331,MAX(0,'Start Here'!$B$10-SUM($AJ331:$AS331)-SUMPRODUCT(($Z$3:$AI$3&lt;Z$3)*($Z331:$AI331-$AJ331:$AS331))))</f>
        <v>0</v>
      </c>
      <c r="G331" s="42" t="n">
        <f aca="false">AK331+MIN(AA331-AK331,MAX(0,'Start Here'!$B$10-SUM($AJ331:$AS331)-SUMPRODUCT(($Z$3:$AI$3&lt;AA$3)*($Z331:$AI331-$AJ331:$AS331))))</f>
        <v>0</v>
      </c>
      <c r="H331" s="42" t="n">
        <f aca="false">AL331+MIN(AB331-AL331,MAX(0,'Start Here'!$B$10-SUM($AJ331:$AS331)-SUMPRODUCT(($Z$3:$AI$3&lt;AB$3)*($Z331:$AI331-$AJ331:$AS331))))</f>
        <v>0</v>
      </c>
      <c r="I331" s="42" t="n">
        <f aca="false">AM331+MIN(AC331-AM331,MAX(0,'Start Here'!$B$10-SUM($AJ331:$AS331)-SUMPRODUCT(($Z$3:$AI$3&lt;AC$3)*($Z331:$AI331-$AJ331:$AS331))))</f>
        <v>0</v>
      </c>
      <c r="J331" s="42" t="n">
        <f aca="false">AN331+MIN(AD331-AN331,MAX(0,'Start Here'!$B$10-SUM($AJ331:$AS331)-SUMPRODUCT(($Z$3:$AI$3&lt;AD$3)*($Z331:$AI331-$AJ331:$AS331))))</f>
        <v>0</v>
      </c>
      <c r="K331" s="42" t="n">
        <f aca="false">AO331+MIN(AE331-AO331,MAX(0,'Start Here'!$B$10-SUM($AJ331:$AS331)-SUMPRODUCT(($Z$3:$AI$3&lt;AE$3)*($Z331:$AI331-$AJ331:$AS331))))</f>
        <v>0</v>
      </c>
      <c r="L331" s="42" t="n">
        <f aca="false">AP331+MIN(AF331-AP331,MAX(0,'Start Here'!$B$10-SUM($AJ331:$AS331)-SUMPRODUCT(($Z$3:$AI$3&lt;AF$3)*($Z331:$AI331-$AJ331:$AS331))))</f>
        <v>0</v>
      </c>
      <c r="M331" s="42" t="n">
        <f aca="false">AQ331+MIN(AG331-AQ331,MAX(0,'Start Here'!$B$10-SUM($AJ331:$AS331)-SUMPRODUCT(($Z$3:$AI$3&lt;AG$3)*($Z331:$AI331-$AJ331:$AS331))))</f>
        <v>0</v>
      </c>
      <c r="N331" s="42" t="n">
        <f aca="false">AR331+MIN(AH331-AR331,MAX(0,'Start Here'!$B$10-SUM($AJ331:$AS331)-SUMPRODUCT(($Z$3:$AI$3&lt;AH$3)*($Z331:$AI331-$AJ331:$AS331))))</f>
        <v>0</v>
      </c>
      <c r="O331" s="42" t="n">
        <f aca="false">AS331+MIN(AI331-AS331,MAX(0,'Start Here'!$B$10-SUM($AJ331:$AS331)-SUMPRODUCT(($Z$3:$AI$3&lt;AI$3)*($Z331:$AI331-$AJ331:$AS331))))</f>
        <v>0</v>
      </c>
      <c r="P331" s="42" t="n">
        <f aca="false">ROUND(Z331-F331,2)</f>
        <v>0</v>
      </c>
      <c r="Q331" s="42" t="n">
        <f aca="false">ROUND(AA331-G331,2)</f>
        <v>0</v>
      </c>
      <c r="R331" s="42" t="n">
        <f aca="false">ROUND(AB331-H331,2)</f>
        <v>0</v>
      </c>
      <c r="S331" s="42" t="n">
        <f aca="false">ROUND(AC331-I331,2)</f>
        <v>0</v>
      </c>
      <c r="T331" s="42" t="n">
        <f aca="false">ROUND(AD331-J331,2)</f>
        <v>0</v>
      </c>
      <c r="U331" s="42" t="n">
        <f aca="false">ROUND(AE331-K331,2)</f>
        <v>0</v>
      </c>
      <c r="V331" s="42" t="n">
        <f aca="false">ROUND(AF331-L331,2)</f>
        <v>0</v>
      </c>
      <c r="W331" s="42" t="n">
        <f aca="false">ROUND(AG331-M331,2)</f>
        <v>0</v>
      </c>
      <c r="X331" s="42" t="n">
        <f aca="false">ROUND(AH331-N331,2)</f>
        <v>0</v>
      </c>
      <c r="Y331" s="42" t="n">
        <f aca="false">ROUND(AI331-O331,2)</f>
        <v>0</v>
      </c>
      <c r="Z331" s="56" t="n">
        <f aca="false">ROUND(P330*(1+N(Debts!$D$5)/12),2)</f>
        <v>0</v>
      </c>
      <c r="AA331" s="56" t="n">
        <f aca="false">ROUND(Q330*(1+N(Debts!$D$6)/12),2)</f>
        <v>0</v>
      </c>
      <c r="AB331" s="56" t="n">
        <f aca="false">ROUND(R330*(1+N(Debts!$D$7)/12),2)</f>
        <v>0</v>
      </c>
      <c r="AC331" s="56" t="n">
        <f aca="false">ROUND(S330*(1+N(Debts!$D$8)/12),2)</f>
        <v>0</v>
      </c>
      <c r="AD331" s="56" t="n">
        <f aca="false">ROUND(T330*(1+N(Debts!$D$9)/12),2)</f>
        <v>0</v>
      </c>
      <c r="AE331" s="56" t="n">
        <f aca="false">ROUND(U330*(1+N(Debts!$D$10)/12),2)</f>
        <v>0</v>
      </c>
      <c r="AF331" s="56" t="n">
        <f aca="false">ROUND(V330*(1+N(Debts!$D$11)/12),2)</f>
        <v>0</v>
      </c>
      <c r="AG331" s="56" t="n">
        <f aca="false">ROUND(W330*(1+N(Debts!$D$12)/12),2)</f>
        <v>0</v>
      </c>
      <c r="AH331" s="56" t="n">
        <f aca="false">ROUND(X330*(1+N(Debts!$D$13)/12),2)</f>
        <v>0</v>
      </c>
      <c r="AI331" s="56" t="n">
        <f aca="false">ROUND(Y330*(1+N(Debts!$D$14)/12),2)</f>
        <v>0</v>
      </c>
      <c r="AJ331" s="56" t="n">
        <f aca="false">MIN(Z331,MAX(0,N(Debts!$E$5)))</f>
        <v>0</v>
      </c>
      <c r="AK331" s="56" t="n">
        <f aca="false">MIN(AA331,MAX(0,N(Debts!$E$6)))</f>
        <v>0</v>
      </c>
      <c r="AL331" s="56" t="n">
        <f aca="false">MIN(AB331,MAX(0,N(Debts!$E$7)))</f>
        <v>0</v>
      </c>
      <c r="AM331" s="56" t="n">
        <f aca="false">MIN(AC331,MAX(0,N(Debts!$E$8)))</f>
        <v>0</v>
      </c>
      <c r="AN331" s="56" t="n">
        <f aca="false">MIN(AD331,MAX(0,N(Debts!$E$9)))</f>
        <v>0</v>
      </c>
      <c r="AO331" s="56" t="n">
        <f aca="false">MIN(AE331,MAX(0,N(Debts!$E$10)))</f>
        <v>0</v>
      </c>
      <c r="AP331" s="56" t="n">
        <f aca="false">MIN(AF331,MAX(0,N(Debts!$E$11)))</f>
        <v>0</v>
      </c>
      <c r="AQ331" s="56" t="n">
        <f aca="false">MIN(AG331,MAX(0,N(Debts!$E$12)))</f>
        <v>0</v>
      </c>
      <c r="AR331" s="56" t="n">
        <f aca="false">MIN(AH331,MAX(0,N(Debts!$E$13)))</f>
        <v>0</v>
      </c>
      <c r="AS331" s="56" t="n">
        <f aca="false">MIN(AI331,MAX(0,N(Debts!$E$14)))</f>
        <v>0</v>
      </c>
    </row>
    <row r="332" customFormat="false" ht="15" hidden="false" customHeight="false" outlineLevel="0" collapsed="false">
      <c r="A332" s="53" t="n">
        <v>328</v>
      </c>
      <c r="B332" s="54" t="n">
        <f aca="false">EDATE('Start Here'!$B$8,327)</f>
        <v>56281</v>
      </c>
      <c r="C332" s="42" t="n">
        <f aca="false">SUM(F332:O332)</f>
        <v>0</v>
      </c>
      <c r="D332" s="42" t="n">
        <f aca="false">ROUND(SUM($Z332:$AI332)-SUM(P331:Y331),2)</f>
        <v>0</v>
      </c>
      <c r="E332" s="55" t="n">
        <f aca="false">SUM(P332:Y332)</f>
        <v>0</v>
      </c>
      <c r="F332" s="42" t="n">
        <f aca="false">AJ332+MIN(Z332-AJ332,MAX(0,'Start Here'!$B$10-SUM($AJ332:$AS332)-SUMPRODUCT(($Z$3:$AI$3&lt;Z$3)*($Z332:$AI332-$AJ332:$AS332))))</f>
        <v>0</v>
      </c>
      <c r="G332" s="42" t="n">
        <f aca="false">AK332+MIN(AA332-AK332,MAX(0,'Start Here'!$B$10-SUM($AJ332:$AS332)-SUMPRODUCT(($Z$3:$AI$3&lt;AA$3)*($Z332:$AI332-$AJ332:$AS332))))</f>
        <v>0</v>
      </c>
      <c r="H332" s="42" t="n">
        <f aca="false">AL332+MIN(AB332-AL332,MAX(0,'Start Here'!$B$10-SUM($AJ332:$AS332)-SUMPRODUCT(($Z$3:$AI$3&lt;AB$3)*($Z332:$AI332-$AJ332:$AS332))))</f>
        <v>0</v>
      </c>
      <c r="I332" s="42" t="n">
        <f aca="false">AM332+MIN(AC332-AM332,MAX(0,'Start Here'!$B$10-SUM($AJ332:$AS332)-SUMPRODUCT(($Z$3:$AI$3&lt;AC$3)*($Z332:$AI332-$AJ332:$AS332))))</f>
        <v>0</v>
      </c>
      <c r="J332" s="42" t="n">
        <f aca="false">AN332+MIN(AD332-AN332,MAX(0,'Start Here'!$B$10-SUM($AJ332:$AS332)-SUMPRODUCT(($Z$3:$AI$3&lt;AD$3)*($Z332:$AI332-$AJ332:$AS332))))</f>
        <v>0</v>
      </c>
      <c r="K332" s="42" t="n">
        <f aca="false">AO332+MIN(AE332-AO332,MAX(0,'Start Here'!$B$10-SUM($AJ332:$AS332)-SUMPRODUCT(($Z$3:$AI$3&lt;AE$3)*($Z332:$AI332-$AJ332:$AS332))))</f>
        <v>0</v>
      </c>
      <c r="L332" s="42" t="n">
        <f aca="false">AP332+MIN(AF332-AP332,MAX(0,'Start Here'!$B$10-SUM($AJ332:$AS332)-SUMPRODUCT(($Z$3:$AI$3&lt;AF$3)*($Z332:$AI332-$AJ332:$AS332))))</f>
        <v>0</v>
      </c>
      <c r="M332" s="42" t="n">
        <f aca="false">AQ332+MIN(AG332-AQ332,MAX(0,'Start Here'!$B$10-SUM($AJ332:$AS332)-SUMPRODUCT(($Z$3:$AI$3&lt;AG$3)*($Z332:$AI332-$AJ332:$AS332))))</f>
        <v>0</v>
      </c>
      <c r="N332" s="42" t="n">
        <f aca="false">AR332+MIN(AH332-AR332,MAX(0,'Start Here'!$B$10-SUM($AJ332:$AS332)-SUMPRODUCT(($Z$3:$AI$3&lt;AH$3)*($Z332:$AI332-$AJ332:$AS332))))</f>
        <v>0</v>
      </c>
      <c r="O332" s="42" t="n">
        <f aca="false">AS332+MIN(AI332-AS332,MAX(0,'Start Here'!$B$10-SUM($AJ332:$AS332)-SUMPRODUCT(($Z$3:$AI$3&lt;AI$3)*($Z332:$AI332-$AJ332:$AS332))))</f>
        <v>0</v>
      </c>
      <c r="P332" s="42" t="n">
        <f aca="false">ROUND(Z332-F332,2)</f>
        <v>0</v>
      </c>
      <c r="Q332" s="42" t="n">
        <f aca="false">ROUND(AA332-G332,2)</f>
        <v>0</v>
      </c>
      <c r="R332" s="42" t="n">
        <f aca="false">ROUND(AB332-H332,2)</f>
        <v>0</v>
      </c>
      <c r="S332" s="42" t="n">
        <f aca="false">ROUND(AC332-I332,2)</f>
        <v>0</v>
      </c>
      <c r="T332" s="42" t="n">
        <f aca="false">ROUND(AD332-J332,2)</f>
        <v>0</v>
      </c>
      <c r="U332" s="42" t="n">
        <f aca="false">ROUND(AE332-K332,2)</f>
        <v>0</v>
      </c>
      <c r="V332" s="42" t="n">
        <f aca="false">ROUND(AF332-L332,2)</f>
        <v>0</v>
      </c>
      <c r="W332" s="42" t="n">
        <f aca="false">ROUND(AG332-M332,2)</f>
        <v>0</v>
      </c>
      <c r="X332" s="42" t="n">
        <f aca="false">ROUND(AH332-N332,2)</f>
        <v>0</v>
      </c>
      <c r="Y332" s="42" t="n">
        <f aca="false">ROUND(AI332-O332,2)</f>
        <v>0</v>
      </c>
      <c r="Z332" s="56" t="n">
        <f aca="false">ROUND(P331*(1+N(Debts!$D$5)/12),2)</f>
        <v>0</v>
      </c>
      <c r="AA332" s="56" t="n">
        <f aca="false">ROUND(Q331*(1+N(Debts!$D$6)/12),2)</f>
        <v>0</v>
      </c>
      <c r="AB332" s="56" t="n">
        <f aca="false">ROUND(R331*(1+N(Debts!$D$7)/12),2)</f>
        <v>0</v>
      </c>
      <c r="AC332" s="56" t="n">
        <f aca="false">ROUND(S331*(1+N(Debts!$D$8)/12),2)</f>
        <v>0</v>
      </c>
      <c r="AD332" s="56" t="n">
        <f aca="false">ROUND(T331*(1+N(Debts!$D$9)/12),2)</f>
        <v>0</v>
      </c>
      <c r="AE332" s="56" t="n">
        <f aca="false">ROUND(U331*(1+N(Debts!$D$10)/12),2)</f>
        <v>0</v>
      </c>
      <c r="AF332" s="56" t="n">
        <f aca="false">ROUND(V331*(1+N(Debts!$D$11)/12),2)</f>
        <v>0</v>
      </c>
      <c r="AG332" s="56" t="n">
        <f aca="false">ROUND(W331*(1+N(Debts!$D$12)/12),2)</f>
        <v>0</v>
      </c>
      <c r="AH332" s="56" t="n">
        <f aca="false">ROUND(X331*(1+N(Debts!$D$13)/12),2)</f>
        <v>0</v>
      </c>
      <c r="AI332" s="56" t="n">
        <f aca="false">ROUND(Y331*(1+N(Debts!$D$14)/12),2)</f>
        <v>0</v>
      </c>
      <c r="AJ332" s="56" t="n">
        <f aca="false">MIN(Z332,MAX(0,N(Debts!$E$5)))</f>
        <v>0</v>
      </c>
      <c r="AK332" s="56" t="n">
        <f aca="false">MIN(AA332,MAX(0,N(Debts!$E$6)))</f>
        <v>0</v>
      </c>
      <c r="AL332" s="56" t="n">
        <f aca="false">MIN(AB332,MAX(0,N(Debts!$E$7)))</f>
        <v>0</v>
      </c>
      <c r="AM332" s="56" t="n">
        <f aca="false">MIN(AC332,MAX(0,N(Debts!$E$8)))</f>
        <v>0</v>
      </c>
      <c r="AN332" s="56" t="n">
        <f aca="false">MIN(AD332,MAX(0,N(Debts!$E$9)))</f>
        <v>0</v>
      </c>
      <c r="AO332" s="56" t="n">
        <f aca="false">MIN(AE332,MAX(0,N(Debts!$E$10)))</f>
        <v>0</v>
      </c>
      <c r="AP332" s="56" t="n">
        <f aca="false">MIN(AF332,MAX(0,N(Debts!$E$11)))</f>
        <v>0</v>
      </c>
      <c r="AQ332" s="56" t="n">
        <f aca="false">MIN(AG332,MAX(0,N(Debts!$E$12)))</f>
        <v>0</v>
      </c>
      <c r="AR332" s="56" t="n">
        <f aca="false">MIN(AH332,MAX(0,N(Debts!$E$13)))</f>
        <v>0</v>
      </c>
      <c r="AS332" s="56" t="n">
        <f aca="false">MIN(AI332,MAX(0,N(Debts!$E$14)))</f>
        <v>0</v>
      </c>
    </row>
    <row r="333" customFormat="false" ht="15" hidden="false" customHeight="false" outlineLevel="0" collapsed="false">
      <c r="A333" s="53" t="n">
        <v>329</v>
      </c>
      <c r="B333" s="54" t="n">
        <f aca="false">EDATE('Start Here'!$B$8,328)</f>
        <v>56309</v>
      </c>
      <c r="C333" s="42" t="n">
        <f aca="false">SUM(F333:O333)</f>
        <v>0</v>
      </c>
      <c r="D333" s="42" t="n">
        <f aca="false">ROUND(SUM($Z333:$AI333)-SUM(P332:Y332),2)</f>
        <v>0</v>
      </c>
      <c r="E333" s="55" t="n">
        <f aca="false">SUM(P333:Y333)</f>
        <v>0</v>
      </c>
      <c r="F333" s="42" t="n">
        <f aca="false">AJ333+MIN(Z333-AJ333,MAX(0,'Start Here'!$B$10-SUM($AJ333:$AS333)-SUMPRODUCT(($Z$3:$AI$3&lt;Z$3)*($Z333:$AI333-$AJ333:$AS333))))</f>
        <v>0</v>
      </c>
      <c r="G333" s="42" t="n">
        <f aca="false">AK333+MIN(AA333-AK333,MAX(0,'Start Here'!$B$10-SUM($AJ333:$AS333)-SUMPRODUCT(($Z$3:$AI$3&lt;AA$3)*($Z333:$AI333-$AJ333:$AS333))))</f>
        <v>0</v>
      </c>
      <c r="H333" s="42" t="n">
        <f aca="false">AL333+MIN(AB333-AL333,MAX(0,'Start Here'!$B$10-SUM($AJ333:$AS333)-SUMPRODUCT(($Z$3:$AI$3&lt;AB$3)*($Z333:$AI333-$AJ333:$AS333))))</f>
        <v>0</v>
      </c>
      <c r="I333" s="42" t="n">
        <f aca="false">AM333+MIN(AC333-AM333,MAX(0,'Start Here'!$B$10-SUM($AJ333:$AS333)-SUMPRODUCT(($Z$3:$AI$3&lt;AC$3)*($Z333:$AI333-$AJ333:$AS333))))</f>
        <v>0</v>
      </c>
      <c r="J333" s="42" t="n">
        <f aca="false">AN333+MIN(AD333-AN333,MAX(0,'Start Here'!$B$10-SUM($AJ333:$AS333)-SUMPRODUCT(($Z$3:$AI$3&lt;AD$3)*($Z333:$AI333-$AJ333:$AS333))))</f>
        <v>0</v>
      </c>
      <c r="K333" s="42" t="n">
        <f aca="false">AO333+MIN(AE333-AO333,MAX(0,'Start Here'!$B$10-SUM($AJ333:$AS333)-SUMPRODUCT(($Z$3:$AI$3&lt;AE$3)*($Z333:$AI333-$AJ333:$AS333))))</f>
        <v>0</v>
      </c>
      <c r="L333" s="42" t="n">
        <f aca="false">AP333+MIN(AF333-AP333,MAX(0,'Start Here'!$B$10-SUM($AJ333:$AS333)-SUMPRODUCT(($Z$3:$AI$3&lt;AF$3)*($Z333:$AI333-$AJ333:$AS333))))</f>
        <v>0</v>
      </c>
      <c r="M333" s="42" t="n">
        <f aca="false">AQ333+MIN(AG333-AQ333,MAX(0,'Start Here'!$B$10-SUM($AJ333:$AS333)-SUMPRODUCT(($Z$3:$AI$3&lt;AG$3)*($Z333:$AI333-$AJ333:$AS333))))</f>
        <v>0</v>
      </c>
      <c r="N333" s="42" t="n">
        <f aca="false">AR333+MIN(AH333-AR333,MAX(0,'Start Here'!$B$10-SUM($AJ333:$AS333)-SUMPRODUCT(($Z$3:$AI$3&lt;AH$3)*($Z333:$AI333-$AJ333:$AS333))))</f>
        <v>0</v>
      </c>
      <c r="O333" s="42" t="n">
        <f aca="false">AS333+MIN(AI333-AS333,MAX(0,'Start Here'!$B$10-SUM($AJ333:$AS333)-SUMPRODUCT(($Z$3:$AI$3&lt;AI$3)*($Z333:$AI333-$AJ333:$AS333))))</f>
        <v>0</v>
      </c>
      <c r="P333" s="42" t="n">
        <f aca="false">ROUND(Z333-F333,2)</f>
        <v>0</v>
      </c>
      <c r="Q333" s="42" t="n">
        <f aca="false">ROUND(AA333-G333,2)</f>
        <v>0</v>
      </c>
      <c r="R333" s="42" t="n">
        <f aca="false">ROUND(AB333-H333,2)</f>
        <v>0</v>
      </c>
      <c r="S333" s="42" t="n">
        <f aca="false">ROUND(AC333-I333,2)</f>
        <v>0</v>
      </c>
      <c r="T333" s="42" t="n">
        <f aca="false">ROUND(AD333-J333,2)</f>
        <v>0</v>
      </c>
      <c r="U333" s="42" t="n">
        <f aca="false">ROUND(AE333-K333,2)</f>
        <v>0</v>
      </c>
      <c r="V333" s="42" t="n">
        <f aca="false">ROUND(AF333-L333,2)</f>
        <v>0</v>
      </c>
      <c r="W333" s="42" t="n">
        <f aca="false">ROUND(AG333-M333,2)</f>
        <v>0</v>
      </c>
      <c r="X333" s="42" t="n">
        <f aca="false">ROUND(AH333-N333,2)</f>
        <v>0</v>
      </c>
      <c r="Y333" s="42" t="n">
        <f aca="false">ROUND(AI333-O333,2)</f>
        <v>0</v>
      </c>
      <c r="Z333" s="56" t="n">
        <f aca="false">ROUND(P332*(1+N(Debts!$D$5)/12),2)</f>
        <v>0</v>
      </c>
      <c r="AA333" s="56" t="n">
        <f aca="false">ROUND(Q332*(1+N(Debts!$D$6)/12),2)</f>
        <v>0</v>
      </c>
      <c r="AB333" s="56" t="n">
        <f aca="false">ROUND(R332*(1+N(Debts!$D$7)/12),2)</f>
        <v>0</v>
      </c>
      <c r="AC333" s="56" t="n">
        <f aca="false">ROUND(S332*(1+N(Debts!$D$8)/12),2)</f>
        <v>0</v>
      </c>
      <c r="AD333" s="56" t="n">
        <f aca="false">ROUND(T332*(1+N(Debts!$D$9)/12),2)</f>
        <v>0</v>
      </c>
      <c r="AE333" s="56" t="n">
        <f aca="false">ROUND(U332*(1+N(Debts!$D$10)/12),2)</f>
        <v>0</v>
      </c>
      <c r="AF333" s="56" t="n">
        <f aca="false">ROUND(V332*(1+N(Debts!$D$11)/12),2)</f>
        <v>0</v>
      </c>
      <c r="AG333" s="56" t="n">
        <f aca="false">ROUND(W332*(1+N(Debts!$D$12)/12),2)</f>
        <v>0</v>
      </c>
      <c r="AH333" s="56" t="n">
        <f aca="false">ROUND(X332*(1+N(Debts!$D$13)/12),2)</f>
        <v>0</v>
      </c>
      <c r="AI333" s="56" t="n">
        <f aca="false">ROUND(Y332*(1+N(Debts!$D$14)/12),2)</f>
        <v>0</v>
      </c>
      <c r="AJ333" s="56" t="n">
        <f aca="false">MIN(Z333,MAX(0,N(Debts!$E$5)))</f>
        <v>0</v>
      </c>
      <c r="AK333" s="56" t="n">
        <f aca="false">MIN(AA333,MAX(0,N(Debts!$E$6)))</f>
        <v>0</v>
      </c>
      <c r="AL333" s="56" t="n">
        <f aca="false">MIN(AB333,MAX(0,N(Debts!$E$7)))</f>
        <v>0</v>
      </c>
      <c r="AM333" s="56" t="n">
        <f aca="false">MIN(AC333,MAX(0,N(Debts!$E$8)))</f>
        <v>0</v>
      </c>
      <c r="AN333" s="56" t="n">
        <f aca="false">MIN(AD333,MAX(0,N(Debts!$E$9)))</f>
        <v>0</v>
      </c>
      <c r="AO333" s="56" t="n">
        <f aca="false">MIN(AE333,MAX(0,N(Debts!$E$10)))</f>
        <v>0</v>
      </c>
      <c r="AP333" s="56" t="n">
        <f aca="false">MIN(AF333,MAX(0,N(Debts!$E$11)))</f>
        <v>0</v>
      </c>
      <c r="AQ333" s="56" t="n">
        <f aca="false">MIN(AG333,MAX(0,N(Debts!$E$12)))</f>
        <v>0</v>
      </c>
      <c r="AR333" s="56" t="n">
        <f aca="false">MIN(AH333,MAX(0,N(Debts!$E$13)))</f>
        <v>0</v>
      </c>
      <c r="AS333" s="56" t="n">
        <f aca="false">MIN(AI333,MAX(0,N(Debts!$E$14)))</f>
        <v>0</v>
      </c>
    </row>
    <row r="334" customFormat="false" ht="15" hidden="false" customHeight="false" outlineLevel="0" collapsed="false">
      <c r="A334" s="53" t="n">
        <v>330</v>
      </c>
      <c r="B334" s="54" t="n">
        <f aca="false">EDATE('Start Here'!$B$8,329)</f>
        <v>56340</v>
      </c>
      <c r="C334" s="42" t="n">
        <f aca="false">SUM(F334:O334)</f>
        <v>0</v>
      </c>
      <c r="D334" s="42" t="n">
        <f aca="false">ROUND(SUM($Z334:$AI334)-SUM(P333:Y333),2)</f>
        <v>0</v>
      </c>
      <c r="E334" s="55" t="n">
        <f aca="false">SUM(P334:Y334)</f>
        <v>0</v>
      </c>
      <c r="F334" s="42" t="n">
        <f aca="false">AJ334+MIN(Z334-AJ334,MAX(0,'Start Here'!$B$10-SUM($AJ334:$AS334)-SUMPRODUCT(($Z$3:$AI$3&lt;Z$3)*($Z334:$AI334-$AJ334:$AS334))))</f>
        <v>0</v>
      </c>
      <c r="G334" s="42" t="n">
        <f aca="false">AK334+MIN(AA334-AK334,MAX(0,'Start Here'!$B$10-SUM($AJ334:$AS334)-SUMPRODUCT(($Z$3:$AI$3&lt;AA$3)*($Z334:$AI334-$AJ334:$AS334))))</f>
        <v>0</v>
      </c>
      <c r="H334" s="42" t="n">
        <f aca="false">AL334+MIN(AB334-AL334,MAX(0,'Start Here'!$B$10-SUM($AJ334:$AS334)-SUMPRODUCT(($Z$3:$AI$3&lt;AB$3)*($Z334:$AI334-$AJ334:$AS334))))</f>
        <v>0</v>
      </c>
      <c r="I334" s="42" t="n">
        <f aca="false">AM334+MIN(AC334-AM334,MAX(0,'Start Here'!$B$10-SUM($AJ334:$AS334)-SUMPRODUCT(($Z$3:$AI$3&lt;AC$3)*($Z334:$AI334-$AJ334:$AS334))))</f>
        <v>0</v>
      </c>
      <c r="J334" s="42" t="n">
        <f aca="false">AN334+MIN(AD334-AN334,MAX(0,'Start Here'!$B$10-SUM($AJ334:$AS334)-SUMPRODUCT(($Z$3:$AI$3&lt;AD$3)*($Z334:$AI334-$AJ334:$AS334))))</f>
        <v>0</v>
      </c>
      <c r="K334" s="42" t="n">
        <f aca="false">AO334+MIN(AE334-AO334,MAX(0,'Start Here'!$B$10-SUM($AJ334:$AS334)-SUMPRODUCT(($Z$3:$AI$3&lt;AE$3)*($Z334:$AI334-$AJ334:$AS334))))</f>
        <v>0</v>
      </c>
      <c r="L334" s="42" t="n">
        <f aca="false">AP334+MIN(AF334-AP334,MAX(0,'Start Here'!$B$10-SUM($AJ334:$AS334)-SUMPRODUCT(($Z$3:$AI$3&lt;AF$3)*($Z334:$AI334-$AJ334:$AS334))))</f>
        <v>0</v>
      </c>
      <c r="M334" s="42" t="n">
        <f aca="false">AQ334+MIN(AG334-AQ334,MAX(0,'Start Here'!$B$10-SUM($AJ334:$AS334)-SUMPRODUCT(($Z$3:$AI$3&lt;AG$3)*($Z334:$AI334-$AJ334:$AS334))))</f>
        <v>0</v>
      </c>
      <c r="N334" s="42" t="n">
        <f aca="false">AR334+MIN(AH334-AR334,MAX(0,'Start Here'!$B$10-SUM($AJ334:$AS334)-SUMPRODUCT(($Z$3:$AI$3&lt;AH$3)*($Z334:$AI334-$AJ334:$AS334))))</f>
        <v>0</v>
      </c>
      <c r="O334" s="42" t="n">
        <f aca="false">AS334+MIN(AI334-AS334,MAX(0,'Start Here'!$B$10-SUM($AJ334:$AS334)-SUMPRODUCT(($Z$3:$AI$3&lt;AI$3)*($Z334:$AI334-$AJ334:$AS334))))</f>
        <v>0</v>
      </c>
      <c r="P334" s="42" t="n">
        <f aca="false">ROUND(Z334-F334,2)</f>
        <v>0</v>
      </c>
      <c r="Q334" s="42" t="n">
        <f aca="false">ROUND(AA334-G334,2)</f>
        <v>0</v>
      </c>
      <c r="R334" s="42" t="n">
        <f aca="false">ROUND(AB334-H334,2)</f>
        <v>0</v>
      </c>
      <c r="S334" s="42" t="n">
        <f aca="false">ROUND(AC334-I334,2)</f>
        <v>0</v>
      </c>
      <c r="T334" s="42" t="n">
        <f aca="false">ROUND(AD334-J334,2)</f>
        <v>0</v>
      </c>
      <c r="U334" s="42" t="n">
        <f aca="false">ROUND(AE334-K334,2)</f>
        <v>0</v>
      </c>
      <c r="V334" s="42" t="n">
        <f aca="false">ROUND(AF334-L334,2)</f>
        <v>0</v>
      </c>
      <c r="W334" s="42" t="n">
        <f aca="false">ROUND(AG334-M334,2)</f>
        <v>0</v>
      </c>
      <c r="X334" s="42" t="n">
        <f aca="false">ROUND(AH334-N334,2)</f>
        <v>0</v>
      </c>
      <c r="Y334" s="42" t="n">
        <f aca="false">ROUND(AI334-O334,2)</f>
        <v>0</v>
      </c>
      <c r="Z334" s="56" t="n">
        <f aca="false">ROUND(P333*(1+N(Debts!$D$5)/12),2)</f>
        <v>0</v>
      </c>
      <c r="AA334" s="56" t="n">
        <f aca="false">ROUND(Q333*(1+N(Debts!$D$6)/12),2)</f>
        <v>0</v>
      </c>
      <c r="AB334" s="56" t="n">
        <f aca="false">ROUND(R333*(1+N(Debts!$D$7)/12),2)</f>
        <v>0</v>
      </c>
      <c r="AC334" s="56" t="n">
        <f aca="false">ROUND(S333*(1+N(Debts!$D$8)/12),2)</f>
        <v>0</v>
      </c>
      <c r="AD334" s="56" t="n">
        <f aca="false">ROUND(T333*(1+N(Debts!$D$9)/12),2)</f>
        <v>0</v>
      </c>
      <c r="AE334" s="56" t="n">
        <f aca="false">ROUND(U333*(1+N(Debts!$D$10)/12),2)</f>
        <v>0</v>
      </c>
      <c r="AF334" s="56" t="n">
        <f aca="false">ROUND(V333*(1+N(Debts!$D$11)/12),2)</f>
        <v>0</v>
      </c>
      <c r="AG334" s="56" t="n">
        <f aca="false">ROUND(W333*(1+N(Debts!$D$12)/12),2)</f>
        <v>0</v>
      </c>
      <c r="AH334" s="56" t="n">
        <f aca="false">ROUND(X333*(1+N(Debts!$D$13)/12),2)</f>
        <v>0</v>
      </c>
      <c r="AI334" s="56" t="n">
        <f aca="false">ROUND(Y333*(1+N(Debts!$D$14)/12),2)</f>
        <v>0</v>
      </c>
      <c r="AJ334" s="56" t="n">
        <f aca="false">MIN(Z334,MAX(0,N(Debts!$E$5)))</f>
        <v>0</v>
      </c>
      <c r="AK334" s="56" t="n">
        <f aca="false">MIN(AA334,MAX(0,N(Debts!$E$6)))</f>
        <v>0</v>
      </c>
      <c r="AL334" s="56" t="n">
        <f aca="false">MIN(AB334,MAX(0,N(Debts!$E$7)))</f>
        <v>0</v>
      </c>
      <c r="AM334" s="56" t="n">
        <f aca="false">MIN(AC334,MAX(0,N(Debts!$E$8)))</f>
        <v>0</v>
      </c>
      <c r="AN334" s="56" t="n">
        <f aca="false">MIN(AD334,MAX(0,N(Debts!$E$9)))</f>
        <v>0</v>
      </c>
      <c r="AO334" s="56" t="n">
        <f aca="false">MIN(AE334,MAX(0,N(Debts!$E$10)))</f>
        <v>0</v>
      </c>
      <c r="AP334" s="56" t="n">
        <f aca="false">MIN(AF334,MAX(0,N(Debts!$E$11)))</f>
        <v>0</v>
      </c>
      <c r="AQ334" s="56" t="n">
        <f aca="false">MIN(AG334,MAX(0,N(Debts!$E$12)))</f>
        <v>0</v>
      </c>
      <c r="AR334" s="56" t="n">
        <f aca="false">MIN(AH334,MAX(0,N(Debts!$E$13)))</f>
        <v>0</v>
      </c>
      <c r="AS334" s="56" t="n">
        <f aca="false">MIN(AI334,MAX(0,N(Debts!$E$14)))</f>
        <v>0</v>
      </c>
    </row>
    <row r="335" customFormat="false" ht="15" hidden="false" customHeight="false" outlineLevel="0" collapsed="false">
      <c r="A335" s="53" t="n">
        <v>331</v>
      </c>
      <c r="B335" s="54" t="n">
        <f aca="false">EDATE('Start Here'!$B$8,330)</f>
        <v>56370</v>
      </c>
      <c r="C335" s="42" t="n">
        <f aca="false">SUM(F335:O335)</f>
        <v>0</v>
      </c>
      <c r="D335" s="42" t="n">
        <f aca="false">ROUND(SUM($Z335:$AI335)-SUM(P334:Y334),2)</f>
        <v>0</v>
      </c>
      <c r="E335" s="55" t="n">
        <f aca="false">SUM(P335:Y335)</f>
        <v>0</v>
      </c>
      <c r="F335" s="42" t="n">
        <f aca="false">AJ335+MIN(Z335-AJ335,MAX(0,'Start Here'!$B$10-SUM($AJ335:$AS335)-SUMPRODUCT(($Z$3:$AI$3&lt;Z$3)*($Z335:$AI335-$AJ335:$AS335))))</f>
        <v>0</v>
      </c>
      <c r="G335" s="42" t="n">
        <f aca="false">AK335+MIN(AA335-AK335,MAX(0,'Start Here'!$B$10-SUM($AJ335:$AS335)-SUMPRODUCT(($Z$3:$AI$3&lt;AA$3)*($Z335:$AI335-$AJ335:$AS335))))</f>
        <v>0</v>
      </c>
      <c r="H335" s="42" t="n">
        <f aca="false">AL335+MIN(AB335-AL335,MAX(0,'Start Here'!$B$10-SUM($AJ335:$AS335)-SUMPRODUCT(($Z$3:$AI$3&lt;AB$3)*($Z335:$AI335-$AJ335:$AS335))))</f>
        <v>0</v>
      </c>
      <c r="I335" s="42" t="n">
        <f aca="false">AM335+MIN(AC335-AM335,MAX(0,'Start Here'!$B$10-SUM($AJ335:$AS335)-SUMPRODUCT(($Z$3:$AI$3&lt;AC$3)*($Z335:$AI335-$AJ335:$AS335))))</f>
        <v>0</v>
      </c>
      <c r="J335" s="42" t="n">
        <f aca="false">AN335+MIN(AD335-AN335,MAX(0,'Start Here'!$B$10-SUM($AJ335:$AS335)-SUMPRODUCT(($Z$3:$AI$3&lt;AD$3)*($Z335:$AI335-$AJ335:$AS335))))</f>
        <v>0</v>
      </c>
      <c r="K335" s="42" t="n">
        <f aca="false">AO335+MIN(AE335-AO335,MAX(0,'Start Here'!$B$10-SUM($AJ335:$AS335)-SUMPRODUCT(($Z$3:$AI$3&lt;AE$3)*($Z335:$AI335-$AJ335:$AS335))))</f>
        <v>0</v>
      </c>
      <c r="L335" s="42" t="n">
        <f aca="false">AP335+MIN(AF335-AP335,MAX(0,'Start Here'!$B$10-SUM($AJ335:$AS335)-SUMPRODUCT(($Z$3:$AI$3&lt;AF$3)*($Z335:$AI335-$AJ335:$AS335))))</f>
        <v>0</v>
      </c>
      <c r="M335" s="42" t="n">
        <f aca="false">AQ335+MIN(AG335-AQ335,MAX(0,'Start Here'!$B$10-SUM($AJ335:$AS335)-SUMPRODUCT(($Z$3:$AI$3&lt;AG$3)*($Z335:$AI335-$AJ335:$AS335))))</f>
        <v>0</v>
      </c>
      <c r="N335" s="42" t="n">
        <f aca="false">AR335+MIN(AH335-AR335,MAX(0,'Start Here'!$B$10-SUM($AJ335:$AS335)-SUMPRODUCT(($Z$3:$AI$3&lt;AH$3)*($Z335:$AI335-$AJ335:$AS335))))</f>
        <v>0</v>
      </c>
      <c r="O335" s="42" t="n">
        <f aca="false">AS335+MIN(AI335-AS335,MAX(0,'Start Here'!$B$10-SUM($AJ335:$AS335)-SUMPRODUCT(($Z$3:$AI$3&lt;AI$3)*($Z335:$AI335-$AJ335:$AS335))))</f>
        <v>0</v>
      </c>
      <c r="P335" s="42" t="n">
        <f aca="false">ROUND(Z335-F335,2)</f>
        <v>0</v>
      </c>
      <c r="Q335" s="42" t="n">
        <f aca="false">ROUND(AA335-G335,2)</f>
        <v>0</v>
      </c>
      <c r="R335" s="42" t="n">
        <f aca="false">ROUND(AB335-H335,2)</f>
        <v>0</v>
      </c>
      <c r="S335" s="42" t="n">
        <f aca="false">ROUND(AC335-I335,2)</f>
        <v>0</v>
      </c>
      <c r="T335" s="42" t="n">
        <f aca="false">ROUND(AD335-J335,2)</f>
        <v>0</v>
      </c>
      <c r="U335" s="42" t="n">
        <f aca="false">ROUND(AE335-K335,2)</f>
        <v>0</v>
      </c>
      <c r="V335" s="42" t="n">
        <f aca="false">ROUND(AF335-L335,2)</f>
        <v>0</v>
      </c>
      <c r="W335" s="42" t="n">
        <f aca="false">ROUND(AG335-M335,2)</f>
        <v>0</v>
      </c>
      <c r="X335" s="42" t="n">
        <f aca="false">ROUND(AH335-N335,2)</f>
        <v>0</v>
      </c>
      <c r="Y335" s="42" t="n">
        <f aca="false">ROUND(AI335-O335,2)</f>
        <v>0</v>
      </c>
      <c r="Z335" s="56" t="n">
        <f aca="false">ROUND(P334*(1+N(Debts!$D$5)/12),2)</f>
        <v>0</v>
      </c>
      <c r="AA335" s="56" t="n">
        <f aca="false">ROUND(Q334*(1+N(Debts!$D$6)/12),2)</f>
        <v>0</v>
      </c>
      <c r="AB335" s="56" t="n">
        <f aca="false">ROUND(R334*(1+N(Debts!$D$7)/12),2)</f>
        <v>0</v>
      </c>
      <c r="AC335" s="56" t="n">
        <f aca="false">ROUND(S334*(1+N(Debts!$D$8)/12),2)</f>
        <v>0</v>
      </c>
      <c r="AD335" s="56" t="n">
        <f aca="false">ROUND(T334*(1+N(Debts!$D$9)/12),2)</f>
        <v>0</v>
      </c>
      <c r="AE335" s="56" t="n">
        <f aca="false">ROUND(U334*(1+N(Debts!$D$10)/12),2)</f>
        <v>0</v>
      </c>
      <c r="AF335" s="56" t="n">
        <f aca="false">ROUND(V334*(1+N(Debts!$D$11)/12),2)</f>
        <v>0</v>
      </c>
      <c r="AG335" s="56" t="n">
        <f aca="false">ROUND(W334*(1+N(Debts!$D$12)/12),2)</f>
        <v>0</v>
      </c>
      <c r="AH335" s="56" t="n">
        <f aca="false">ROUND(X334*(1+N(Debts!$D$13)/12),2)</f>
        <v>0</v>
      </c>
      <c r="AI335" s="56" t="n">
        <f aca="false">ROUND(Y334*(1+N(Debts!$D$14)/12),2)</f>
        <v>0</v>
      </c>
      <c r="AJ335" s="56" t="n">
        <f aca="false">MIN(Z335,MAX(0,N(Debts!$E$5)))</f>
        <v>0</v>
      </c>
      <c r="AK335" s="56" t="n">
        <f aca="false">MIN(AA335,MAX(0,N(Debts!$E$6)))</f>
        <v>0</v>
      </c>
      <c r="AL335" s="56" t="n">
        <f aca="false">MIN(AB335,MAX(0,N(Debts!$E$7)))</f>
        <v>0</v>
      </c>
      <c r="AM335" s="56" t="n">
        <f aca="false">MIN(AC335,MAX(0,N(Debts!$E$8)))</f>
        <v>0</v>
      </c>
      <c r="AN335" s="56" t="n">
        <f aca="false">MIN(AD335,MAX(0,N(Debts!$E$9)))</f>
        <v>0</v>
      </c>
      <c r="AO335" s="56" t="n">
        <f aca="false">MIN(AE335,MAX(0,N(Debts!$E$10)))</f>
        <v>0</v>
      </c>
      <c r="AP335" s="56" t="n">
        <f aca="false">MIN(AF335,MAX(0,N(Debts!$E$11)))</f>
        <v>0</v>
      </c>
      <c r="AQ335" s="56" t="n">
        <f aca="false">MIN(AG335,MAX(0,N(Debts!$E$12)))</f>
        <v>0</v>
      </c>
      <c r="AR335" s="56" t="n">
        <f aca="false">MIN(AH335,MAX(0,N(Debts!$E$13)))</f>
        <v>0</v>
      </c>
      <c r="AS335" s="56" t="n">
        <f aca="false">MIN(AI335,MAX(0,N(Debts!$E$14)))</f>
        <v>0</v>
      </c>
    </row>
    <row r="336" customFormat="false" ht="15" hidden="false" customHeight="false" outlineLevel="0" collapsed="false">
      <c r="A336" s="53" t="n">
        <v>332</v>
      </c>
      <c r="B336" s="54" t="n">
        <f aca="false">EDATE('Start Here'!$B$8,331)</f>
        <v>56401</v>
      </c>
      <c r="C336" s="42" t="n">
        <f aca="false">SUM(F336:O336)</f>
        <v>0</v>
      </c>
      <c r="D336" s="42" t="n">
        <f aca="false">ROUND(SUM($Z336:$AI336)-SUM(P335:Y335),2)</f>
        <v>0</v>
      </c>
      <c r="E336" s="55" t="n">
        <f aca="false">SUM(P336:Y336)</f>
        <v>0</v>
      </c>
      <c r="F336" s="42" t="n">
        <f aca="false">AJ336+MIN(Z336-AJ336,MAX(0,'Start Here'!$B$10-SUM($AJ336:$AS336)-SUMPRODUCT(($Z$3:$AI$3&lt;Z$3)*($Z336:$AI336-$AJ336:$AS336))))</f>
        <v>0</v>
      </c>
      <c r="G336" s="42" t="n">
        <f aca="false">AK336+MIN(AA336-AK336,MAX(0,'Start Here'!$B$10-SUM($AJ336:$AS336)-SUMPRODUCT(($Z$3:$AI$3&lt;AA$3)*($Z336:$AI336-$AJ336:$AS336))))</f>
        <v>0</v>
      </c>
      <c r="H336" s="42" t="n">
        <f aca="false">AL336+MIN(AB336-AL336,MAX(0,'Start Here'!$B$10-SUM($AJ336:$AS336)-SUMPRODUCT(($Z$3:$AI$3&lt;AB$3)*($Z336:$AI336-$AJ336:$AS336))))</f>
        <v>0</v>
      </c>
      <c r="I336" s="42" t="n">
        <f aca="false">AM336+MIN(AC336-AM336,MAX(0,'Start Here'!$B$10-SUM($AJ336:$AS336)-SUMPRODUCT(($Z$3:$AI$3&lt;AC$3)*($Z336:$AI336-$AJ336:$AS336))))</f>
        <v>0</v>
      </c>
      <c r="J336" s="42" t="n">
        <f aca="false">AN336+MIN(AD336-AN336,MAX(0,'Start Here'!$B$10-SUM($AJ336:$AS336)-SUMPRODUCT(($Z$3:$AI$3&lt;AD$3)*($Z336:$AI336-$AJ336:$AS336))))</f>
        <v>0</v>
      </c>
      <c r="K336" s="42" t="n">
        <f aca="false">AO336+MIN(AE336-AO336,MAX(0,'Start Here'!$B$10-SUM($AJ336:$AS336)-SUMPRODUCT(($Z$3:$AI$3&lt;AE$3)*($Z336:$AI336-$AJ336:$AS336))))</f>
        <v>0</v>
      </c>
      <c r="L336" s="42" t="n">
        <f aca="false">AP336+MIN(AF336-AP336,MAX(0,'Start Here'!$B$10-SUM($AJ336:$AS336)-SUMPRODUCT(($Z$3:$AI$3&lt;AF$3)*($Z336:$AI336-$AJ336:$AS336))))</f>
        <v>0</v>
      </c>
      <c r="M336" s="42" t="n">
        <f aca="false">AQ336+MIN(AG336-AQ336,MAX(0,'Start Here'!$B$10-SUM($AJ336:$AS336)-SUMPRODUCT(($Z$3:$AI$3&lt;AG$3)*($Z336:$AI336-$AJ336:$AS336))))</f>
        <v>0</v>
      </c>
      <c r="N336" s="42" t="n">
        <f aca="false">AR336+MIN(AH336-AR336,MAX(0,'Start Here'!$B$10-SUM($AJ336:$AS336)-SUMPRODUCT(($Z$3:$AI$3&lt;AH$3)*($Z336:$AI336-$AJ336:$AS336))))</f>
        <v>0</v>
      </c>
      <c r="O336" s="42" t="n">
        <f aca="false">AS336+MIN(AI336-AS336,MAX(0,'Start Here'!$B$10-SUM($AJ336:$AS336)-SUMPRODUCT(($Z$3:$AI$3&lt;AI$3)*($Z336:$AI336-$AJ336:$AS336))))</f>
        <v>0</v>
      </c>
      <c r="P336" s="42" t="n">
        <f aca="false">ROUND(Z336-F336,2)</f>
        <v>0</v>
      </c>
      <c r="Q336" s="42" t="n">
        <f aca="false">ROUND(AA336-G336,2)</f>
        <v>0</v>
      </c>
      <c r="R336" s="42" t="n">
        <f aca="false">ROUND(AB336-H336,2)</f>
        <v>0</v>
      </c>
      <c r="S336" s="42" t="n">
        <f aca="false">ROUND(AC336-I336,2)</f>
        <v>0</v>
      </c>
      <c r="T336" s="42" t="n">
        <f aca="false">ROUND(AD336-J336,2)</f>
        <v>0</v>
      </c>
      <c r="U336" s="42" t="n">
        <f aca="false">ROUND(AE336-K336,2)</f>
        <v>0</v>
      </c>
      <c r="V336" s="42" t="n">
        <f aca="false">ROUND(AF336-L336,2)</f>
        <v>0</v>
      </c>
      <c r="W336" s="42" t="n">
        <f aca="false">ROUND(AG336-M336,2)</f>
        <v>0</v>
      </c>
      <c r="X336" s="42" t="n">
        <f aca="false">ROUND(AH336-N336,2)</f>
        <v>0</v>
      </c>
      <c r="Y336" s="42" t="n">
        <f aca="false">ROUND(AI336-O336,2)</f>
        <v>0</v>
      </c>
      <c r="Z336" s="56" t="n">
        <f aca="false">ROUND(P335*(1+N(Debts!$D$5)/12),2)</f>
        <v>0</v>
      </c>
      <c r="AA336" s="56" t="n">
        <f aca="false">ROUND(Q335*(1+N(Debts!$D$6)/12),2)</f>
        <v>0</v>
      </c>
      <c r="AB336" s="56" t="n">
        <f aca="false">ROUND(R335*(1+N(Debts!$D$7)/12),2)</f>
        <v>0</v>
      </c>
      <c r="AC336" s="56" t="n">
        <f aca="false">ROUND(S335*(1+N(Debts!$D$8)/12),2)</f>
        <v>0</v>
      </c>
      <c r="AD336" s="56" t="n">
        <f aca="false">ROUND(T335*(1+N(Debts!$D$9)/12),2)</f>
        <v>0</v>
      </c>
      <c r="AE336" s="56" t="n">
        <f aca="false">ROUND(U335*(1+N(Debts!$D$10)/12),2)</f>
        <v>0</v>
      </c>
      <c r="AF336" s="56" t="n">
        <f aca="false">ROUND(V335*(1+N(Debts!$D$11)/12),2)</f>
        <v>0</v>
      </c>
      <c r="AG336" s="56" t="n">
        <f aca="false">ROUND(W335*(1+N(Debts!$D$12)/12),2)</f>
        <v>0</v>
      </c>
      <c r="AH336" s="56" t="n">
        <f aca="false">ROUND(X335*(1+N(Debts!$D$13)/12),2)</f>
        <v>0</v>
      </c>
      <c r="AI336" s="56" t="n">
        <f aca="false">ROUND(Y335*(1+N(Debts!$D$14)/12),2)</f>
        <v>0</v>
      </c>
      <c r="AJ336" s="56" t="n">
        <f aca="false">MIN(Z336,MAX(0,N(Debts!$E$5)))</f>
        <v>0</v>
      </c>
      <c r="AK336" s="56" t="n">
        <f aca="false">MIN(AA336,MAX(0,N(Debts!$E$6)))</f>
        <v>0</v>
      </c>
      <c r="AL336" s="56" t="n">
        <f aca="false">MIN(AB336,MAX(0,N(Debts!$E$7)))</f>
        <v>0</v>
      </c>
      <c r="AM336" s="56" t="n">
        <f aca="false">MIN(AC336,MAX(0,N(Debts!$E$8)))</f>
        <v>0</v>
      </c>
      <c r="AN336" s="56" t="n">
        <f aca="false">MIN(AD336,MAX(0,N(Debts!$E$9)))</f>
        <v>0</v>
      </c>
      <c r="AO336" s="56" t="n">
        <f aca="false">MIN(AE336,MAX(0,N(Debts!$E$10)))</f>
        <v>0</v>
      </c>
      <c r="AP336" s="56" t="n">
        <f aca="false">MIN(AF336,MAX(0,N(Debts!$E$11)))</f>
        <v>0</v>
      </c>
      <c r="AQ336" s="56" t="n">
        <f aca="false">MIN(AG336,MAX(0,N(Debts!$E$12)))</f>
        <v>0</v>
      </c>
      <c r="AR336" s="56" t="n">
        <f aca="false">MIN(AH336,MAX(0,N(Debts!$E$13)))</f>
        <v>0</v>
      </c>
      <c r="AS336" s="56" t="n">
        <f aca="false">MIN(AI336,MAX(0,N(Debts!$E$14)))</f>
        <v>0</v>
      </c>
    </row>
    <row r="337" customFormat="false" ht="15" hidden="false" customHeight="false" outlineLevel="0" collapsed="false">
      <c r="A337" s="53" t="n">
        <v>333</v>
      </c>
      <c r="B337" s="54" t="n">
        <f aca="false">EDATE('Start Here'!$B$8,332)</f>
        <v>56431</v>
      </c>
      <c r="C337" s="42" t="n">
        <f aca="false">SUM(F337:O337)</f>
        <v>0</v>
      </c>
      <c r="D337" s="42" t="n">
        <f aca="false">ROUND(SUM($Z337:$AI337)-SUM(P336:Y336),2)</f>
        <v>0</v>
      </c>
      <c r="E337" s="55" t="n">
        <f aca="false">SUM(P337:Y337)</f>
        <v>0</v>
      </c>
      <c r="F337" s="42" t="n">
        <f aca="false">AJ337+MIN(Z337-AJ337,MAX(0,'Start Here'!$B$10-SUM($AJ337:$AS337)-SUMPRODUCT(($Z$3:$AI$3&lt;Z$3)*($Z337:$AI337-$AJ337:$AS337))))</f>
        <v>0</v>
      </c>
      <c r="G337" s="42" t="n">
        <f aca="false">AK337+MIN(AA337-AK337,MAX(0,'Start Here'!$B$10-SUM($AJ337:$AS337)-SUMPRODUCT(($Z$3:$AI$3&lt;AA$3)*($Z337:$AI337-$AJ337:$AS337))))</f>
        <v>0</v>
      </c>
      <c r="H337" s="42" t="n">
        <f aca="false">AL337+MIN(AB337-AL337,MAX(0,'Start Here'!$B$10-SUM($AJ337:$AS337)-SUMPRODUCT(($Z$3:$AI$3&lt;AB$3)*($Z337:$AI337-$AJ337:$AS337))))</f>
        <v>0</v>
      </c>
      <c r="I337" s="42" t="n">
        <f aca="false">AM337+MIN(AC337-AM337,MAX(0,'Start Here'!$B$10-SUM($AJ337:$AS337)-SUMPRODUCT(($Z$3:$AI$3&lt;AC$3)*($Z337:$AI337-$AJ337:$AS337))))</f>
        <v>0</v>
      </c>
      <c r="J337" s="42" t="n">
        <f aca="false">AN337+MIN(AD337-AN337,MAX(0,'Start Here'!$B$10-SUM($AJ337:$AS337)-SUMPRODUCT(($Z$3:$AI$3&lt;AD$3)*($Z337:$AI337-$AJ337:$AS337))))</f>
        <v>0</v>
      </c>
      <c r="K337" s="42" t="n">
        <f aca="false">AO337+MIN(AE337-AO337,MAX(0,'Start Here'!$B$10-SUM($AJ337:$AS337)-SUMPRODUCT(($Z$3:$AI$3&lt;AE$3)*($Z337:$AI337-$AJ337:$AS337))))</f>
        <v>0</v>
      </c>
      <c r="L337" s="42" t="n">
        <f aca="false">AP337+MIN(AF337-AP337,MAX(0,'Start Here'!$B$10-SUM($AJ337:$AS337)-SUMPRODUCT(($Z$3:$AI$3&lt;AF$3)*($Z337:$AI337-$AJ337:$AS337))))</f>
        <v>0</v>
      </c>
      <c r="M337" s="42" t="n">
        <f aca="false">AQ337+MIN(AG337-AQ337,MAX(0,'Start Here'!$B$10-SUM($AJ337:$AS337)-SUMPRODUCT(($Z$3:$AI$3&lt;AG$3)*($Z337:$AI337-$AJ337:$AS337))))</f>
        <v>0</v>
      </c>
      <c r="N337" s="42" t="n">
        <f aca="false">AR337+MIN(AH337-AR337,MAX(0,'Start Here'!$B$10-SUM($AJ337:$AS337)-SUMPRODUCT(($Z$3:$AI$3&lt;AH$3)*($Z337:$AI337-$AJ337:$AS337))))</f>
        <v>0</v>
      </c>
      <c r="O337" s="42" t="n">
        <f aca="false">AS337+MIN(AI337-AS337,MAX(0,'Start Here'!$B$10-SUM($AJ337:$AS337)-SUMPRODUCT(($Z$3:$AI$3&lt;AI$3)*($Z337:$AI337-$AJ337:$AS337))))</f>
        <v>0</v>
      </c>
      <c r="P337" s="42" t="n">
        <f aca="false">ROUND(Z337-F337,2)</f>
        <v>0</v>
      </c>
      <c r="Q337" s="42" t="n">
        <f aca="false">ROUND(AA337-G337,2)</f>
        <v>0</v>
      </c>
      <c r="R337" s="42" t="n">
        <f aca="false">ROUND(AB337-H337,2)</f>
        <v>0</v>
      </c>
      <c r="S337" s="42" t="n">
        <f aca="false">ROUND(AC337-I337,2)</f>
        <v>0</v>
      </c>
      <c r="T337" s="42" t="n">
        <f aca="false">ROUND(AD337-J337,2)</f>
        <v>0</v>
      </c>
      <c r="U337" s="42" t="n">
        <f aca="false">ROUND(AE337-K337,2)</f>
        <v>0</v>
      </c>
      <c r="V337" s="42" t="n">
        <f aca="false">ROUND(AF337-L337,2)</f>
        <v>0</v>
      </c>
      <c r="W337" s="42" t="n">
        <f aca="false">ROUND(AG337-M337,2)</f>
        <v>0</v>
      </c>
      <c r="X337" s="42" t="n">
        <f aca="false">ROUND(AH337-N337,2)</f>
        <v>0</v>
      </c>
      <c r="Y337" s="42" t="n">
        <f aca="false">ROUND(AI337-O337,2)</f>
        <v>0</v>
      </c>
      <c r="Z337" s="56" t="n">
        <f aca="false">ROUND(P336*(1+N(Debts!$D$5)/12),2)</f>
        <v>0</v>
      </c>
      <c r="AA337" s="56" t="n">
        <f aca="false">ROUND(Q336*(1+N(Debts!$D$6)/12),2)</f>
        <v>0</v>
      </c>
      <c r="AB337" s="56" t="n">
        <f aca="false">ROUND(R336*(1+N(Debts!$D$7)/12),2)</f>
        <v>0</v>
      </c>
      <c r="AC337" s="56" t="n">
        <f aca="false">ROUND(S336*(1+N(Debts!$D$8)/12),2)</f>
        <v>0</v>
      </c>
      <c r="AD337" s="56" t="n">
        <f aca="false">ROUND(T336*(1+N(Debts!$D$9)/12),2)</f>
        <v>0</v>
      </c>
      <c r="AE337" s="56" t="n">
        <f aca="false">ROUND(U336*(1+N(Debts!$D$10)/12),2)</f>
        <v>0</v>
      </c>
      <c r="AF337" s="56" t="n">
        <f aca="false">ROUND(V336*(1+N(Debts!$D$11)/12),2)</f>
        <v>0</v>
      </c>
      <c r="AG337" s="56" t="n">
        <f aca="false">ROUND(W336*(1+N(Debts!$D$12)/12),2)</f>
        <v>0</v>
      </c>
      <c r="AH337" s="56" t="n">
        <f aca="false">ROUND(X336*(1+N(Debts!$D$13)/12),2)</f>
        <v>0</v>
      </c>
      <c r="AI337" s="56" t="n">
        <f aca="false">ROUND(Y336*(1+N(Debts!$D$14)/12),2)</f>
        <v>0</v>
      </c>
      <c r="AJ337" s="56" t="n">
        <f aca="false">MIN(Z337,MAX(0,N(Debts!$E$5)))</f>
        <v>0</v>
      </c>
      <c r="AK337" s="56" t="n">
        <f aca="false">MIN(AA337,MAX(0,N(Debts!$E$6)))</f>
        <v>0</v>
      </c>
      <c r="AL337" s="56" t="n">
        <f aca="false">MIN(AB337,MAX(0,N(Debts!$E$7)))</f>
        <v>0</v>
      </c>
      <c r="AM337" s="56" t="n">
        <f aca="false">MIN(AC337,MAX(0,N(Debts!$E$8)))</f>
        <v>0</v>
      </c>
      <c r="AN337" s="56" t="n">
        <f aca="false">MIN(AD337,MAX(0,N(Debts!$E$9)))</f>
        <v>0</v>
      </c>
      <c r="AO337" s="56" t="n">
        <f aca="false">MIN(AE337,MAX(0,N(Debts!$E$10)))</f>
        <v>0</v>
      </c>
      <c r="AP337" s="56" t="n">
        <f aca="false">MIN(AF337,MAX(0,N(Debts!$E$11)))</f>
        <v>0</v>
      </c>
      <c r="AQ337" s="56" t="n">
        <f aca="false">MIN(AG337,MAX(0,N(Debts!$E$12)))</f>
        <v>0</v>
      </c>
      <c r="AR337" s="56" t="n">
        <f aca="false">MIN(AH337,MAX(0,N(Debts!$E$13)))</f>
        <v>0</v>
      </c>
      <c r="AS337" s="56" t="n">
        <f aca="false">MIN(AI337,MAX(0,N(Debts!$E$14)))</f>
        <v>0</v>
      </c>
    </row>
    <row r="338" customFormat="false" ht="15" hidden="false" customHeight="false" outlineLevel="0" collapsed="false">
      <c r="A338" s="53" t="n">
        <v>334</v>
      </c>
      <c r="B338" s="54" t="n">
        <f aca="false">EDATE('Start Here'!$B$8,333)</f>
        <v>56462</v>
      </c>
      <c r="C338" s="42" t="n">
        <f aca="false">SUM(F338:O338)</f>
        <v>0</v>
      </c>
      <c r="D338" s="42" t="n">
        <f aca="false">ROUND(SUM($Z338:$AI338)-SUM(P337:Y337),2)</f>
        <v>0</v>
      </c>
      <c r="E338" s="55" t="n">
        <f aca="false">SUM(P338:Y338)</f>
        <v>0</v>
      </c>
      <c r="F338" s="42" t="n">
        <f aca="false">AJ338+MIN(Z338-AJ338,MAX(0,'Start Here'!$B$10-SUM($AJ338:$AS338)-SUMPRODUCT(($Z$3:$AI$3&lt;Z$3)*($Z338:$AI338-$AJ338:$AS338))))</f>
        <v>0</v>
      </c>
      <c r="G338" s="42" t="n">
        <f aca="false">AK338+MIN(AA338-AK338,MAX(0,'Start Here'!$B$10-SUM($AJ338:$AS338)-SUMPRODUCT(($Z$3:$AI$3&lt;AA$3)*($Z338:$AI338-$AJ338:$AS338))))</f>
        <v>0</v>
      </c>
      <c r="H338" s="42" t="n">
        <f aca="false">AL338+MIN(AB338-AL338,MAX(0,'Start Here'!$B$10-SUM($AJ338:$AS338)-SUMPRODUCT(($Z$3:$AI$3&lt;AB$3)*($Z338:$AI338-$AJ338:$AS338))))</f>
        <v>0</v>
      </c>
      <c r="I338" s="42" t="n">
        <f aca="false">AM338+MIN(AC338-AM338,MAX(0,'Start Here'!$B$10-SUM($AJ338:$AS338)-SUMPRODUCT(($Z$3:$AI$3&lt;AC$3)*($Z338:$AI338-$AJ338:$AS338))))</f>
        <v>0</v>
      </c>
      <c r="J338" s="42" t="n">
        <f aca="false">AN338+MIN(AD338-AN338,MAX(0,'Start Here'!$B$10-SUM($AJ338:$AS338)-SUMPRODUCT(($Z$3:$AI$3&lt;AD$3)*($Z338:$AI338-$AJ338:$AS338))))</f>
        <v>0</v>
      </c>
      <c r="K338" s="42" t="n">
        <f aca="false">AO338+MIN(AE338-AO338,MAX(0,'Start Here'!$B$10-SUM($AJ338:$AS338)-SUMPRODUCT(($Z$3:$AI$3&lt;AE$3)*($Z338:$AI338-$AJ338:$AS338))))</f>
        <v>0</v>
      </c>
      <c r="L338" s="42" t="n">
        <f aca="false">AP338+MIN(AF338-AP338,MAX(0,'Start Here'!$B$10-SUM($AJ338:$AS338)-SUMPRODUCT(($Z$3:$AI$3&lt;AF$3)*($Z338:$AI338-$AJ338:$AS338))))</f>
        <v>0</v>
      </c>
      <c r="M338" s="42" t="n">
        <f aca="false">AQ338+MIN(AG338-AQ338,MAX(0,'Start Here'!$B$10-SUM($AJ338:$AS338)-SUMPRODUCT(($Z$3:$AI$3&lt;AG$3)*($Z338:$AI338-$AJ338:$AS338))))</f>
        <v>0</v>
      </c>
      <c r="N338" s="42" t="n">
        <f aca="false">AR338+MIN(AH338-AR338,MAX(0,'Start Here'!$B$10-SUM($AJ338:$AS338)-SUMPRODUCT(($Z$3:$AI$3&lt;AH$3)*($Z338:$AI338-$AJ338:$AS338))))</f>
        <v>0</v>
      </c>
      <c r="O338" s="42" t="n">
        <f aca="false">AS338+MIN(AI338-AS338,MAX(0,'Start Here'!$B$10-SUM($AJ338:$AS338)-SUMPRODUCT(($Z$3:$AI$3&lt;AI$3)*($Z338:$AI338-$AJ338:$AS338))))</f>
        <v>0</v>
      </c>
      <c r="P338" s="42" t="n">
        <f aca="false">ROUND(Z338-F338,2)</f>
        <v>0</v>
      </c>
      <c r="Q338" s="42" t="n">
        <f aca="false">ROUND(AA338-G338,2)</f>
        <v>0</v>
      </c>
      <c r="R338" s="42" t="n">
        <f aca="false">ROUND(AB338-H338,2)</f>
        <v>0</v>
      </c>
      <c r="S338" s="42" t="n">
        <f aca="false">ROUND(AC338-I338,2)</f>
        <v>0</v>
      </c>
      <c r="T338" s="42" t="n">
        <f aca="false">ROUND(AD338-J338,2)</f>
        <v>0</v>
      </c>
      <c r="U338" s="42" t="n">
        <f aca="false">ROUND(AE338-K338,2)</f>
        <v>0</v>
      </c>
      <c r="V338" s="42" t="n">
        <f aca="false">ROUND(AF338-L338,2)</f>
        <v>0</v>
      </c>
      <c r="W338" s="42" t="n">
        <f aca="false">ROUND(AG338-M338,2)</f>
        <v>0</v>
      </c>
      <c r="X338" s="42" t="n">
        <f aca="false">ROUND(AH338-N338,2)</f>
        <v>0</v>
      </c>
      <c r="Y338" s="42" t="n">
        <f aca="false">ROUND(AI338-O338,2)</f>
        <v>0</v>
      </c>
      <c r="Z338" s="56" t="n">
        <f aca="false">ROUND(P337*(1+N(Debts!$D$5)/12),2)</f>
        <v>0</v>
      </c>
      <c r="AA338" s="56" t="n">
        <f aca="false">ROUND(Q337*(1+N(Debts!$D$6)/12),2)</f>
        <v>0</v>
      </c>
      <c r="AB338" s="56" t="n">
        <f aca="false">ROUND(R337*(1+N(Debts!$D$7)/12),2)</f>
        <v>0</v>
      </c>
      <c r="AC338" s="56" t="n">
        <f aca="false">ROUND(S337*(1+N(Debts!$D$8)/12),2)</f>
        <v>0</v>
      </c>
      <c r="AD338" s="56" t="n">
        <f aca="false">ROUND(T337*(1+N(Debts!$D$9)/12),2)</f>
        <v>0</v>
      </c>
      <c r="AE338" s="56" t="n">
        <f aca="false">ROUND(U337*(1+N(Debts!$D$10)/12),2)</f>
        <v>0</v>
      </c>
      <c r="AF338" s="56" t="n">
        <f aca="false">ROUND(V337*(1+N(Debts!$D$11)/12),2)</f>
        <v>0</v>
      </c>
      <c r="AG338" s="56" t="n">
        <f aca="false">ROUND(W337*(1+N(Debts!$D$12)/12),2)</f>
        <v>0</v>
      </c>
      <c r="AH338" s="56" t="n">
        <f aca="false">ROUND(X337*(1+N(Debts!$D$13)/12),2)</f>
        <v>0</v>
      </c>
      <c r="AI338" s="56" t="n">
        <f aca="false">ROUND(Y337*(1+N(Debts!$D$14)/12),2)</f>
        <v>0</v>
      </c>
      <c r="AJ338" s="56" t="n">
        <f aca="false">MIN(Z338,MAX(0,N(Debts!$E$5)))</f>
        <v>0</v>
      </c>
      <c r="AK338" s="56" t="n">
        <f aca="false">MIN(AA338,MAX(0,N(Debts!$E$6)))</f>
        <v>0</v>
      </c>
      <c r="AL338" s="56" t="n">
        <f aca="false">MIN(AB338,MAX(0,N(Debts!$E$7)))</f>
        <v>0</v>
      </c>
      <c r="AM338" s="56" t="n">
        <f aca="false">MIN(AC338,MAX(0,N(Debts!$E$8)))</f>
        <v>0</v>
      </c>
      <c r="AN338" s="56" t="n">
        <f aca="false">MIN(AD338,MAX(0,N(Debts!$E$9)))</f>
        <v>0</v>
      </c>
      <c r="AO338" s="56" t="n">
        <f aca="false">MIN(AE338,MAX(0,N(Debts!$E$10)))</f>
        <v>0</v>
      </c>
      <c r="AP338" s="56" t="n">
        <f aca="false">MIN(AF338,MAX(0,N(Debts!$E$11)))</f>
        <v>0</v>
      </c>
      <c r="AQ338" s="56" t="n">
        <f aca="false">MIN(AG338,MAX(0,N(Debts!$E$12)))</f>
        <v>0</v>
      </c>
      <c r="AR338" s="56" t="n">
        <f aca="false">MIN(AH338,MAX(0,N(Debts!$E$13)))</f>
        <v>0</v>
      </c>
      <c r="AS338" s="56" t="n">
        <f aca="false">MIN(AI338,MAX(0,N(Debts!$E$14)))</f>
        <v>0</v>
      </c>
    </row>
    <row r="339" customFormat="false" ht="15" hidden="false" customHeight="false" outlineLevel="0" collapsed="false">
      <c r="A339" s="53" t="n">
        <v>335</v>
      </c>
      <c r="B339" s="54" t="n">
        <f aca="false">EDATE('Start Here'!$B$8,334)</f>
        <v>56493</v>
      </c>
      <c r="C339" s="42" t="n">
        <f aca="false">SUM(F339:O339)</f>
        <v>0</v>
      </c>
      <c r="D339" s="42" t="n">
        <f aca="false">ROUND(SUM($Z339:$AI339)-SUM(P338:Y338),2)</f>
        <v>0</v>
      </c>
      <c r="E339" s="55" t="n">
        <f aca="false">SUM(P339:Y339)</f>
        <v>0</v>
      </c>
      <c r="F339" s="42" t="n">
        <f aca="false">AJ339+MIN(Z339-AJ339,MAX(0,'Start Here'!$B$10-SUM($AJ339:$AS339)-SUMPRODUCT(($Z$3:$AI$3&lt;Z$3)*($Z339:$AI339-$AJ339:$AS339))))</f>
        <v>0</v>
      </c>
      <c r="G339" s="42" t="n">
        <f aca="false">AK339+MIN(AA339-AK339,MAX(0,'Start Here'!$B$10-SUM($AJ339:$AS339)-SUMPRODUCT(($Z$3:$AI$3&lt;AA$3)*($Z339:$AI339-$AJ339:$AS339))))</f>
        <v>0</v>
      </c>
      <c r="H339" s="42" t="n">
        <f aca="false">AL339+MIN(AB339-AL339,MAX(0,'Start Here'!$B$10-SUM($AJ339:$AS339)-SUMPRODUCT(($Z$3:$AI$3&lt;AB$3)*($Z339:$AI339-$AJ339:$AS339))))</f>
        <v>0</v>
      </c>
      <c r="I339" s="42" t="n">
        <f aca="false">AM339+MIN(AC339-AM339,MAX(0,'Start Here'!$B$10-SUM($AJ339:$AS339)-SUMPRODUCT(($Z$3:$AI$3&lt;AC$3)*($Z339:$AI339-$AJ339:$AS339))))</f>
        <v>0</v>
      </c>
      <c r="J339" s="42" t="n">
        <f aca="false">AN339+MIN(AD339-AN339,MAX(0,'Start Here'!$B$10-SUM($AJ339:$AS339)-SUMPRODUCT(($Z$3:$AI$3&lt;AD$3)*($Z339:$AI339-$AJ339:$AS339))))</f>
        <v>0</v>
      </c>
      <c r="K339" s="42" t="n">
        <f aca="false">AO339+MIN(AE339-AO339,MAX(0,'Start Here'!$B$10-SUM($AJ339:$AS339)-SUMPRODUCT(($Z$3:$AI$3&lt;AE$3)*($Z339:$AI339-$AJ339:$AS339))))</f>
        <v>0</v>
      </c>
      <c r="L339" s="42" t="n">
        <f aca="false">AP339+MIN(AF339-AP339,MAX(0,'Start Here'!$B$10-SUM($AJ339:$AS339)-SUMPRODUCT(($Z$3:$AI$3&lt;AF$3)*($Z339:$AI339-$AJ339:$AS339))))</f>
        <v>0</v>
      </c>
      <c r="M339" s="42" t="n">
        <f aca="false">AQ339+MIN(AG339-AQ339,MAX(0,'Start Here'!$B$10-SUM($AJ339:$AS339)-SUMPRODUCT(($Z$3:$AI$3&lt;AG$3)*($Z339:$AI339-$AJ339:$AS339))))</f>
        <v>0</v>
      </c>
      <c r="N339" s="42" t="n">
        <f aca="false">AR339+MIN(AH339-AR339,MAX(0,'Start Here'!$B$10-SUM($AJ339:$AS339)-SUMPRODUCT(($Z$3:$AI$3&lt;AH$3)*($Z339:$AI339-$AJ339:$AS339))))</f>
        <v>0</v>
      </c>
      <c r="O339" s="42" t="n">
        <f aca="false">AS339+MIN(AI339-AS339,MAX(0,'Start Here'!$B$10-SUM($AJ339:$AS339)-SUMPRODUCT(($Z$3:$AI$3&lt;AI$3)*($Z339:$AI339-$AJ339:$AS339))))</f>
        <v>0</v>
      </c>
      <c r="P339" s="42" t="n">
        <f aca="false">ROUND(Z339-F339,2)</f>
        <v>0</v>
      </c>
      <c r="Q339" s="42" t="n">
        <f aca="false">ROUND(AA339-G339,2)</f>
        <v>0</v>
      </c>
      <c r="R339" s="42" t="n">
        <f aca="false">ROUND(AB339-H339,2)</f>
        <v>0</v>
      </c>
      <c r="S339" s="42" t="n">
        <f aca="false">ROUND(AC339-I339,2)</f>
        <v>0</v>
      </c>
      <c r="T339" s="42" t="n">
        <f aca="false">ROUND(AD339-J339,2)</f>
        <v>0</v>
      </c>
      <c r="U339" s="42" t="n">
        <f aca="false">ROUND(AE339-K339,2)</f>
        <v>0</v>
      </c>
      <c r="V339" s="42" t="n">
        <f aca="false">ROUND(AF339-L339,2)</f>
        <v>0</v>
      </c>
      <c r="W339" s="42" t="n">
        <f aca="false">ROUND(AG339-M339,2)</f>
        <v>0</v>
      </c>
      <c r="X339" s="42" t="n">
        <f aca="false">ROUND(AH339-N339,2)</f>
        <v>0</v>
      </c>
      <c r="Y339" s="42" t="n">
        <f aca="false">ROUND(AI339-O339,2)</f>
        <v>0</v>
      </c>
      <c r="Z339" s="56" t="n">
        <f aca="false">ROUND(P338*(1+N(Debts!$D$5)/12),2)</f>
        <v>0</v>
      </c>
      <c r="AA339" s="56" t="n">
        <f aca="false">ROUND(Q338*(1+N(Debts!$D$6)/12),2)</f>
        <v>0</v>
      </c>
      <c r="AB339" s="56" t="n">
        <f aca="false">ROUND(R338*(1+N(Debts!$D$7)/12),2)</f>
        <v>0</v>
      </c>
      <c r="AC339" s="56" t="n">
        <f aca="false">ROUND(S338*(1+N(Debts!$D$8)/12),2)</f>
        <v>0</v>
      </c>
      <c r="AD339" s="56" t="n">
        <f aca="false">ROUND(T338*(1+N(Debts!$D$9)/12),2)</f>
        <v>0</v>
      </c>
      <c r="AE339" s="56" t="n">
        <f aca="false">ROUND(U338*(1+N(Debts!$D$10)/12),2)</f>
        <v>0</v>
      </c>
      <c r="AF339" s="56" t="n">
        <f aca="false">ROUND(V338*(1+N(Debts!$D$11)/12),2)</f>
        <v>0</v>
      </c>
      <c r="AG339" s="56" t="n">
        <f aca="false">ROUND(W338*(1+N(Debts!$D$12)/12),2)</f>
        <v>0</v>
      </c>
      <c r="AH339" s="56" t="n">
        <f aca="false">ROUND(X338*(1+N(Debts!$D$13)/12),2)</f>
        <v>0</v>
      </c>
      <c r="AI339" s="56" t="n">
        <f aca="false">ROUND(Y338*(1+N(Debts!$D$14)/12),2)</f>
        <v>0</v>
      </c>
      <c r="AJ339" s="56" t="n">
        <f aca="false">MIN(Z339,MAX(0,N(Debts!$E$5)))</f>
        <v>0</v>
      </c>
      <c r="AK339" s="56" t="n">
        <f aca="false">MIN(AA339,MAX(0,N(Debts!$E$6)))</f>
        <v>0</v>
      </c>
      <c r="AL339" s="56" t="n">
        <f aca="false">MIN(AB339,MAX(0,N(Debts!$E$7)))</f>
        <v>0</v>
      </c>
      <c r="AM339" s="56" t="n">
        <f aca="false">MIN(AC339,MAX(0,N(Debts!$E$8)))</f>
        <v>0</v>
      </c>
      <c r="AN339" s="56" t="n">
        <f aca="false">MIN(AD339,MAX(0,N(Debts!$E$9)))</f>
        <v>0</v>
      </c>
      <c r="AO339" s="56" t="n">
        <f aca="false">MIN(AE339,MAX(0,N(Debts!$E$10)))</f>
        <v>0</v>
      </c>
      <c r="AP339" s="56" t="n">
        <f aca="false">MIN(AF339,MAX(0,N(Debts!$E$11)))</f>
        <v>0</v>
      </c>
      <c r="AQ339" s="56" t="n">
        <f aca="false">MIN(AG339,MAX(0,N(Debts!$E$12)))</f>
        <v>0</v>
      </c>
      <c r="AR339" s="56" t="n">
        <f aca="false">MIN(AH339,MAX(0,N(Debts!$E$13)))</f>
        <v>0</v>
      </c>
      <c r="AS339" s="56" t="n">
        <f aca="false">MIN(AI339,MAX(0,N(Debts!$E$14)))</f>
        <v>0</v>
      </c>
    </row>
    <row r="340" customFormat="false" ht="15" hidden="false" customHeight="false" outlineLevel="0" collapsed="false">
      <c r="A340" s="53" t="n">
        <v>336</v>
      </c>
      <c r="B340" s="54" t="n">
        <f aca="false">EDATE('Start Here'!$B$8,335)</f>
        <v>56523</v>
      </c>
      <c r="C340" s="42" t="n">
        <f aca="false">SUM(F340:O340)</f>
        <v>0</v>
      </c>
      <c r="D340" s="42" t="n">
        <f aca="false">ROUND(SUM($Z340:$AI340)-SUM(P339:Y339),2)</f>
        <v>0</v>
      </c>
      <c r="E340" s="55" t="n">
        <f aca="false">SUM(P340:Y340)</f>
        <v>0</v>
      </c>
      <c r="F340" s="42" t="n">
        <f aca="false">AJ340+MIN(Z340-AJ340,MAX(0,'Start Here'!$B$10-SUM($AJ340:$AS340)-SUMPRODUCT(($Z$3:$AI$3&lt;Z$3)*($Z340:$AI340-$AJ340:$AS340))))</f>
        <v>0</v>
      </c>
      <c r="G340" s="42" t="n">
        <f aca="false">AK340+MIN(AA340-AK340,MAX(0,'Start Here'!$B$10-SUM($AJ340:$AS340)-SUMPRODUCT(($Z$3:$AI$3&lt;AA$3)*($Z340:$AI340-$AJ340:$AS340))))</f>
        <v>0</v>
      </c>
      <c r="H340" s="42" t="n">
        <f aca="false">AL340+MIN(AB340-AL340,MAX(0,'Start Here'!$B$10-SUM($AJ340:$AS340)-SUMPRODUCT(($Z$3:$AI$3&lt;AB$3)*($Z340:$AI340-$AJ340:$AS340))))</f>
        <v>0</v>
      </c>
      <c r="I340" s="42" t="n">
        <f aca="false">AM340+MIN(AC340-AM340,MAX(0,'Start Here'!$B$10-SUM($AJ340:$AS340)-SUMPRODUCT(($Z$3:$AI$3&lt;AC$3)*($Z340:$AI340-$AJ340:$AS340))))</f>
        <v>0</v>
      </c>
      <c r="J340" s="42" t="n">
        <f aca="false">AN340+MIN(AD340-AN340,MAX(0,'Start Here'!$B$10-SUM($AJ340:$AS340)-SUMPRODUCT(($Z$3:$AI$3&lt;AD$3)*($Z340:$AI340-$AJ340:$AS340))))</f>
        <v>0</v>
      </c>
      <c r="K340" s="42" t="n">
        <f aca="false">AO340+MIN(AE340-AO340,MAX(0,'Start Here'!$B$10-SUM($AJ340:$AS340)-SUMPRODUCT(($Z$3:$AI$3&lt;AE$3)*($Z340:$AI340-$AJ340:$AS340))))</f>
        <v>0</v>
      </c>
      <c r="L340" s="42" t="n">
        <f aca="false">AP340+MIN(AF340-AP340,MAX(0,'Start Here'!$B$10-SUM($AJ340:$AS340)-SUMPRODUCT(($Z$3:$AI$3&lt;AF$3)*($Z340:$AI340-$AJ340:$AS340))))</f>
        <v>0</v>
      </c>
      <c r="M340" s="42" t="n">
        <f aca="false">AQ340+MIN(AG340-AQ340,MAX(0,'Start Here'!$B$10-SUM($AJ340:$AS340)-SUMPRODUCT(($Z$3:$AI$3&lt;AG$3)*($Z340:$AI340-$AJ340:$AS340))))</f>
        <v>0</v>
      </c>
      <c r="N340" s="42" t="n">
        <f aca="false">AR340+MIN(AH340-AR340,MAX(0,'Start Here'!$B$10-SUM($AJ340:$AS340)-SUMPRODUCT(($Z$3:$AI$3&lt;AH$3)*($Z340:$AI340-$AJ340:$AS340))))</f>
        <v>0</v>
      </c>
      <c r="O340" s="42" t="n">
        <f aca="false">AS340+MIN(AI340-AS340,MAX(0,'Start Here'!$B$10-SUM($AJ340:$AS340)-SUMPRODUCT(($Z$3:$AI$3&lt;AI$3)*($Z340:$AI340-$AJ340:$AS340))))</f>
        <v>0</v>
      </c>
      <c r="P340" s="42" t="n">
        <f aca="false">ROUND(Z340-F340,2)</f>
        <v>0</v>
      </c>
      <c r="Q340" s="42" t="n">
        <f aca="false">ROUND(AA340-G340,2)</f>
        <v>0</v>
      </c>
      <c r="R340" s="42" t="n">
        <f aca="false">ROUND(AB340-H340,2)</f>
        <v>0</v>
      </c>
      <c r="S340" s="42" t="n">
        <f aca="false">ROUND(AC340-I340,2)</f>
        <v>0</v>
      </c>
      <c r="T340" s="42" t="n">
        <f aca="false">ROUND(AD340-J340,2)</f>
        <v>0</v>
      </c>
      <c r="U340" s="42" t="n">
        <f aca="false">ROUND(AE340-K340,2)</f>
        <v>0</v>
      </c>
      <c r="V340" s="42" t="n">
        <f aca="false">ROUND(AF340-L340,2)</f>
        <v>0</v>
      </c>
      <c r="W340" s="42" t="n">
        <f aca="false">ROUND(AG340-M340,2)</f>
        <v>0</v>
      </c>
      <c r="X340" s="42" t="n">
        <f aca="false">ROUND(AH340-N340,2)</f>
        <v>0</v>
      </c>
      <c r="Y340" s="42" t="n">
        <f aca="false">ROUND(AI340-O340,2)</f>
        <v>0</v>
      </c>
      <c r="Z340" s="56" t="n">
        <f aca="false">ROUND(P339*(1+N(Debts!$D$5)/12),2)</f>
        <v>0</v>
      </c>
      <c r="AA340" s="56" t="n">
        <f aca="false">ROUND(Q339*(1+N(Debts!$D$6)/12),2)</f>
        <v>0</v>
      </c>
      <c r="AB340" s="56" t="n">
        <f aca="false">ROUND(R339*(1+N(Debts!$D$7)/12),2)</f>
        <v>0</v>
      </c>
      <c r="AC340" s="56" t="n">
        <f aca="false">ROUND(S339*(1+N(Debts!$D$8)/12),2)</f>
        <v>0</v>
      </c>
      <c r="AD340" s="56" t="n">
        <f aca="false">ROUND(T339*(1+N(Debts!$D$9)/12),2)</f>
        <v>0</v>
      </c>
      <c r="AE340" s="56" t="n">
        <f aca="false">ROUND(U339*(1+N(Debts!$D$10)/12),2)</f>
        <v>0</v>
      </c>
      <c r="AF340" s="56" t="n">
        <f aca="false">ROUND(V339*(1+N(Debts!$D$11)/12),2)</f>
        <v>0</v>
      </c>
      <c r="AG340" s="56" t="n">
        <f aca="false">ROUND(W339*(1+N(Debts!$D$12)/12),2)</f>
        <v>0</v>
      </c>
      <c r="AH340" s="56" t="n">
        <f aca="false">ROUND(X339*(1+N(Debts!$D$13)/12),2)</f>
        <v>0</v>
      </c>
      <c r="AI340" s="56" t="n">
        <f aca="false">ROUND(Y339*(1+N(Debts!$D$14)/12),2)</f>
        <v>0</v>
      </c>
      <c r="AJ340" s="56" t="n">
        <f aca="false">MIN(Z340,MAX(0,N(Debts!$E$5)))</f>
        <v>0</v>
      </c>
      <c r="AK340" s="56" t="n">
        <f aca="false">MIN(AA340,MAX(0,N(Debts!$E$6)))</f>
        <v>0</v>
      </c>
      <c r="AL340" s="56" t="n">
        <f aca="false">MIN(AB340,MAX(0,N(Debts!$E$7)))</f>
        <v>0</v>
      </c>
      <c r="AM340" s="56" t="n">
        <f aca="false">MIN(AC340,MAX(0,N(Debts!$E$8)))</f>
        <v>0</v>
      </c>
      <c r="AN340" s="56" t="n">
        <f aca="false">MIN(AD340,MAX(0,N(Debts!$E$9)))</f>
        <v>0</v>
      </c>
      <c r="AO340" s="56" t="n">
        <f aca="false">MIN(AE340,MAX(0,N(Debts!$E$10)))</f>
        <v>0</v>
      </c>
      <c r="AP340" s="56" t="n">
        <f aca="false">MIN(AF340,MAX(0,N(Debts!$E$11)))</f>
        <v>0</v>
      </c>
      <c r="AQ340" s="56" t="n">
        <f aca="false">MIN(AG340,MAX(0,N(Debts!$E$12)))</f>
        <v>0</v>
      </c>
      <c r="AR340" s="56" t="n">
        <f aca="false">MIN(AH340,MAX(0,N(Debts!$E$13)))</f>
        <v>0</v>
      </c>
      <c r="AS340" s="56" t="n">
        <f aca="false">MIN(AI340,MAX(0,N(Debts!$E$14)))</f>
        <v>0</v>
      </c>
    </row>
    <row r="341" customFormat="false" ht="15" hidden="false" customHeight="false" outlineLevel="0" collapsed="false">
      <c r="A341" s="53" t="n">
        <v>337</v>
      </c>
      <c r="B341" s="54" t="n">
        <f aca="false">EDATE('Start Here'!$B$8,336)</f>
        <v>56554</v>
      </c>
      <c r="C341" s="42" t="n">
        <f aca="false">SUM(F341:O341)</f>
        <v>0</v>
      </c>
      <c r="D341" s="42" t="n">
        <f aca="false">ROUND(SUM($Z341:$AI341)-SUM(P340:Y340),2)</f>
        <v>0</v>
      </c>
      <c r="E341" s="55" t="n">
        <f aca="false">SUM(P341:Y341)</f>
        <v>0</v>
      </c>
      <c r="F341" s="42" t="n">
        <f aca="false">AJ341+MIN(Z341-AJ341,MAX(0,'Start Here'!$B$10-SUM($AJ341:$AS341)-SUMPRODUCT(($Z$3:$AI$3&lt;Z$3)*($Z341:$AI341-$AJ341:$AS341))))</f>
        <v>0</v>
      </c>
      <c r="G341" s="42" t="n">
        <f aca="false">AK341+MIN(AA341-AK341,MAX(0,'Start Here'!$B$10-SUM($AJ341:$AS341)-SUMPRODUCT(($Z$3:$AI$3&lt;AA$3)*($Z341:$AI341-$AJ341:$AS341))))</f>
        <v>0</v>
      </c>
      <c r="H341" s="42" t="n">
        <f aca="false">AL341+MIN(AB341-AL341,MAX(0,'Start Here'!$B$10-SUM($AJ341:$AS341)-SUMPRODUCT(($Z$3:$AI$3&lt;AB$3)*($Z341:$AI341-$AJ341:$AS341))))</f>
        <v>0</v>
      </c>
      <c r="I341" s="42" t="n">
        <f aca="false">AM341+MIN(AC341-AM341,MAX(0,'Start Here'!$B$10-SUM($AJ341:$AS341)-SUMPRODUCT(($Z$3:$AI$3&lt;AC$3)*($Z341:$AI341-$AJ341:$AS341))))</f>
        <v>0</v>
      </c>
      <c r="J341" s="42" t="n">
        <f aca="false">AN341+MIN(AD341-AN341,MAX(0,'Start Here'!$B$10-SUM($AJ341:$AS341)-SUMPRODUCT(($Z$3:$AI$3&lt;AD$3)*($Z341:$AI341-$AJ341:$AS341))))</f>
        <v>0</v>
      </c>
      <c r="K341" s="42" t="n">
        <f aca="false">AO341+MIN(AE341-AO341,MAX(0,'Start Here'!$B$10-SUM($AJ341:$AS341)-SUMPRODUCT(($Z$3:$AI$3&lt;AE$3)*($Z341:$AI341-$AJ341:$AS341))))</f>
        <v>0</v>
      </c>
      <c r="L341" s="42" t="n">
        <f aca="false">AP341+MIN(AF341-AP341,MAX(0,'Start Here'!$B$10-SUM($AJ341:$AS341)-SUMPRODUCT(($Z$3:$AI$3&lt;AF$3)*($Z341:$AI341-$AJ341:$AS341))))</f>
        <v>0</v>
      </c>
      <c r="M341" s="42" t="n">
        <f aca="false">AQ341+MIN(AG341-AQ341,MAX(0,'Start Here'!$B$10-SUM($AJ341:$AS341)-SUMPRODUCT(($Z$3:$AI$3&lt;AG$3)*($Z341:$AI341-$AJ341:$AS341))))</f>
        <v>0</v>
      </c>
      <c r="N341" s="42" t="n">
        <f aca="false">AR341+MIN(AH341-AR341,MAX(0,'Start Here'!$B$10-SUM($AJ341:$AS341)-SUMPRODUCT(($Z$3:$AI$3&lt;AH$3)*($Z341:$AI341-$AJ341:$AS341))))</f>
        <v>0</v>
      </c>
      <c r="O341" s="42" t="n">
        <f aca="false">AS341+MIN(AI341-AS341,MAX(0,'Start Here'!$B$10-SUM($AJ341:$AS341)-SUMPRODUCT(($Z$3:$AI$3&lt;AI$3)*($Z341:$AI341-$AJ341:$AS341))))</f>
        <v>0</v>
      </c>
      <c r="P341" s="42" t="n">
        <f aca="false">ROUND(Z341-F341,2)</f>
        <v>0</v>
      </c>
      <c r="Q341" s="42" t="n">
        <f aca="false">ROUND(AA341-G341,2)</f>
        <v>0</v>
      </c>
      <c r="R341" s="42" t="n">
        <f aca="false">ROUND(AB341-H341,2)</f>
        <v>0</v>
      </c>
      <c r="S341" s="42" t="n">
        <f aca="false">ROUND(AC341-I341,2)</f>
        <v>0</v>
      </c>
      <c r="T341" s="42" t="n">
        <f aca="false">ROUND(AD341-J341,2)</f>
        <v>0</v>
      </c>
      <c r="U341" s="42" t="n">
        <f aca="false">ROUND(AE341-K341,2)</f>
        <v>0</v>
      </c>
      <c r="V341" s="42" t="n">
        <f aca="false">ROUND(AF341-L341,2)</f>
        <v>0</v>
      </c>
      <c r="W341" s="42" t="n">
        <f aca="false">ROUND(AG341-M341,2)</f>
        <v>0</v>
      </c>
      <c r="X341" s="42" t="n">
        <f aca="false">ROUND(AH341-N341,2)</f>
        <v>0</v>
      </c>
      <c r="Y341" s="42" t="n">
        <f aca="false">ROUND(AI341-O341,2)</f>
        <v>0</v>
      </c>
      <c r="Z341" s="56" t="n">
        <f aca="false">ROUND(P340*(1+N(Debts!$D$5)/12),2)</f>
        <v>0</v>
      </c>
      <c r="AA341" s="56" t="n">
        <f aca="false">ROUND(Q340*(1+N(Debts!$D$6)/12),2)</f>
        <v>0</v>
      </c>
      <c r="AB341" s="56" t="n">
        <f aca="false">ROUND(R340*(1+N(Debts!$D$7)/12),2)</f>
        <v>0</v>
      </c>
      <c r="AC341" s="56" t="n">
        <f aca="false">ROUND(S340*(1+N(Debts!$D$8)/12),2)</f>
        <v>0</v>
      </c>
      <c r="AD341" s="56" t="n">
        <f aca="false">ROUND(T340*(1+N(Debts!$D$9)/12),2)</f>
        <v>0</v>
      </c>
      <c r="AE341" s="56" t="n">
        <f aca="false">ROUND(U340*(1+N(Debts!$D$10)/12),2)</f>
        <v>0</v>
      </c>
      <c r="AF341" s="56" t="n">
        <f aca="false">ROUND(V340*(1+N(Debts!$D$11)/12),2)</f>
        <v>0</v>
      </c>
      <c r="AG341" s="56" t="n">
        <f aca="false">ROUND(W340*(1+N(Debts!$D$12)/12),2)</f>
        <v>0</v>
      </c>
      <c r="AH341" s="56" t="n">
        <f aca="false">ROUND(X340*(1+N(Debts!$D$13)/12),2)</f>
        <v>0</v>
      </c>
      <c r="AI341" s="56" t="n">
        <f aca="false">ROUND(Y340*(1+N(Debts!$D$14)/12),2)</f>
        <v>0</v>
      </c>
      <c r="AJ341" s="56" t="n">
        <f aca="false">MIN(Z341,MAX(0,N(Debts!$E$5)))</f>
        <v>0</v>
      </c>
      <c r="AK341" s="56" t="n">
        <f aca="false">MIN(AA341,MAX(0,N(Debts!$E$6)))</f>
        <v>0</v>
      </c>
      <c r="AL341" s="56" t="n">
        <f aca="false">MIN(AB341,MAX(0,N(Debts!$E$7)))</f>
        <v>0</v>
      </c>
      <c r="AM341" s="56" t="n">
        <f aca="false">MIN(AC341,MAX(0,N(Debts!$E$8)))</f>
        <v>0</v>
      </c>
      <c r="AN341" s="56" t="n">
        <f aca="false">MIN(AD341,MAX(0,N(Debts!$E$9)))</f>
        <v>0</v>
      </c>
      <c r="AO341" s="56" t="n">
        <f aca="false">MIN(AE341,MAX(0,N(Debts!$E$10)))</f>
        <v>0</v>
      </c>
      <c r="AP341" s="56" t="n">
        <f aca="false">MIN(AF341,MAX(0,N(Debts!$E$11)))</f>
        <v>0</v>
      </c>
      <c r="AQ341" s="56" t="n">
        <f aca="false">MIN(AG341,MAX(0,N(Debts!$E$12)))</f>
        <v>0</v>
      </c>
      <c r="AR341" s="56" t="n">
        <f aca="false">MIN(AH341,MAX(0,N(Debts!$E$13)))</f>
        <v>0</v>
      </c>
      <c r="AS341" s="56" t="n">
        <f aca="false">MIN(AI341,MAX(0,N(Debts!$E$14)))</f>
        <v>0</v>
      </c>
    </row>
    <row r="342" customFormat="false" ht="15" hidden="false" customHeight="false" outlineLevel="0" collapsed="false">
      <c r="A342" s="53" t="n">
        <v>338</v>
      </c>
      <c r="B342" s="54" t="n">
        <f aca="false">EDATE('Start Here'!$B$8,337)</f>
        <v>56584</v>
      </c>
      <c r="C342" s="42" t="n">
        <f aca="false">SUM(F342:O342)</f>
        <v>0</v>
      </c>
      <c r="D342" s="42" t="n">
        <f aca="false">ROUND(SUM($Z342:$AI342)-SUM(P341:Y341),2)</f>
        <v>0</v>
      </c>
      <c r="E342" s="55" t="n">
        <f aca="false">SUM(P342:Y342)</f>
        <v>0</v>
      </c>
      <c r="F342" s="42" t="n">
        <f aca="false">AJ342+MIN(Z342-AJ342,MAX(0,'Start Here'!$B$10-SUM($AJ342:$AS342)-SUMPRODUCT(($Z$3:$AI$3&lt;Z$3)*($Z342:$AI342-$AJ342:$AS342))))</f>
        <v>0</v>
      </c>
      <c r="G342" s="42" t="n">
        <f aca="false">AK342+MIN(AA342-AK342,MAX(0,'Start Here'!$B$10-SUM($AJ342:$AS342)-SUMPRODUCT(($Z$3:$AI$3&lt;AA$3)*($Z342:$AI342-$AJ342:$AS342))))</f>
        <v>0</v>
      </c>
      <c r="H342" s="42" t="n">
        <f aca="false">AL342+MIN(AB342-AL342,MAX(0,'Start Here'!$B$10-SUM($AJ342:$AS342)-SUMPRODUCT(($Z$3:$AI$3&lt;AB$3)*($Z342:$AI342-$AJ342:$AS342))))</f>
        <v>0</v>
      </c>
      <c r="I342" s="42" t="n">
        <f aca="false">AM342+MIN(AC342-AM342,MAX(0,'Start Here'!$B$10-SUM($AJ342:$AS342)-SUMPRODUCT(($Z$3:$AI$3&lt;AC$3)*($Z342:$AI342-$AJ342:$AS342))))</f>
        <v>0</v>
      </c>
      <c r="J342" s="42" t="n">
        <f aca="false">AN342+MIN(AD342-AN342,MAX(0,'Start Here'!$B$10-SUM($AJ342:$AS342)-SUMPRODUCT(($Z$3:$AI$3&lt;AD$3)*($Z342:$AI342-$AJ342:$AS342))))</f>
        <v>0</v>
      </c>
      <c r="K342" s="42" t="n">
        <f aca="false">AO342+MIN(AE342-AO342,MAX(0,'Start Here'!$B$10-SUM($AJ342:$AS342)-SUMPRODUCT(($Z$3:$AI$3&lt;AE$3)*($Z342:$AI342-$AJ342:$AS342))))</f>
        <v>0</v>
      </c>
      <c r="L342" s="42" t="n">
        <f aca="false">AP342+MIN(AF342-AP342,MAX(0,'Start Here'!$B$10-SUM($AJ342:$AS342)-SUMPRODUCT(($Z$3:$AI$3&lt;AF$3)*($Z342:$AI342-$AJ342:$AS342))))</f>
        <v>0</v>
      </c>
      <c r="M342" s="42" t="n">
        <f aca="false">AQ342+MIN(AG342-AQ342,MAX(0,'Start Here'!$B$10-SUM($AJ342:$AS342)-SUMPRODUCT(($Z$3:$AI$3&lt;AG$3)*($Z342:$AI342-$AJ342:$AS342))))</f>
        <v>0</v>
      </c>
      <c r="N342" s="42" t="n">
        <f aca="false">AR342+MIN(AH342-AR342,MAX(0,'Start Here'!$B$10-SUM($AJ342:$AS342)-SUMPRODUCT(($Z$3:$AI$3&lt;AH$3)*($Z342:$AI342-$AJ342:$AS342))))</f>
        <v>0</v>
      </c>
      <c r="O342" s="42" t="n">
        <f aca="false">AS342+MIN(AI342-AS342,MAX(0,'Start Here'!$B$10-SUM($AJ342:$AS342)-SUMPRODUCT(($Z$3:$AI$3&lt;AI$3)*($Z342:$AI342-$AJ342:$AS342))))</f>
        <v>0</v>
      </c>
      <c r="P342" s="42" t="n">
        <f aca="false">ROUND(Z342-F342,2)</f>
        <v>0</v>
      </c>
      <c r="Q342" s="42" t="n">
        <f aca="false">ROUND(AA342-G342,2)</f>
        <v>0</v>
      </c>
      <c r="R342" s="42" t="n">
        <f aca="false">ROUND(AB342-H342,2)</f>
        <v>0</v>
      </c>
      <c r="S342" s="42" t="n">
        <f aca="false">ROUND(AC342-I342,2)</f>
        <v>0</v>
      </c>
      <c r="T342" s="42" t="n">
        <f aca="false">ROUND(AD342-J342,2)</f>
        <v>0</v>
      </c>
      <c r="U342" s="42" t="n">
        <f aca="false">ROUND(AE342-K342,2)</f>
        <v>0</v>
      </c>
      <c r="V342" s="42" t="n">
        <f aca="false">ROUND(AF342-L342,2)</f>
        <v>0</v>
      </c>
      <c r="W342" s="42" t="n">
        <f aca="false">ROUND(AG342-M342,2)</f>
        <v>0</v>
      </c>
      <c r="X342" s="42" t="n">
        <f aca="false">ROUND(AH342-N342,2)</f>
        <v>0</v>
      </c>
      <c r="Y342" s="42" t="n">
        <f aca="false">ROUND(AI342-O342,2)</f>
        <v>0</v>
      </c>
      <c r="Z342" s="56" t="n">
        <f aca="false">ROUND(P341*(1+N(Debts!$D$5)/12),2)</f>
        <v>0</v>
      </c>
      <c r="AA342" s="56" t="n">
        <f aca="false">ROUND(Q341*(1+N(Debts!$D$6)/12),2)</f>
        <v>0</v>
      </c>
      <c r="AB342" s="56" t="n">
        <f aca="false">ROUND(R341*(1+N(Debts!$D$7)/12),2)</f>
        <v>0</v>
      </c>
      <c r="AC342" s="56" t="n">
        <f aca="false">ROUND(S341*(1+N(Debts!$D$8)/12),2)</f>
        <v>0</v>
      </c>
      <c r="AD342" s="56" t="n">
        <f aca="false">ROUND(T341*(1+N(Debts!$D$9)/12),2)</f>
        <v>0</v>
      </c>
      <c r="AE342" s="56" t="n">
        <f aca="false">ROUND(U341*(1+N(Debts!$D$10)/12),2)</f>
        <v>0</v>
      </c>
      <c r="AF342" s="56" t="n">
        <f aca="false">ROUND(V341*(1+N(Debts!$D$11)/12),2)</f>
        <v>0</v>
      </c>
      <c r="AG342" s="56" t="n">
        <f aca="false">ROUND(W341*(1+N(Debts!$D$12)/12),2)</f>
        <v>0</v>
      </c>
      <c r="AH342" s="56" t="n">
        <f aca="false">ROUND(X341*(1+N(Debts!$D$13)/12),2)</f>
        <v>0</v>
      </c>
      <c r="AI342" s="56" t="n">
        <f aca="false">ROUND(Y341*(1+N(Debts!$D$14)/12),2)</f>
        <v>0</v>
      </c>
      <c r="AJ342" s="56" t="n">
        <f aca="false">MIN(Z342,MAX(0,N(Debts!$E$5)))</f>
        <v>0</v>
      </c>
      <c r="AK342" s="56" t="n">
        <f aca="false">MIN(AA342,MAX(0,N(Debts!$E$6)))</f>
        <v>0</v>
      </c>
      <c r="AL342" s="56" t="n">
        <f aca="false">MIN(AB342,MAX(0,N(Debts!$E$7)))</f>
        <v>0</v>
      </c>
      <c r="AM342" s="56" t="n">
        <f aca="false">MIN(AC342,MAX(0,N(Debts!$E$8)))</f>
        <v>0</v>
      </c>
      <c r="AN342" s="56" t="n">
        <f aca="false">MIN(AD342,MAX(0,N(Debts!$E$9)))</f>
        <v>0</v>
      </c>
      <c r="AO342" s="56" t="n">
        <f aca="false">MIN(AE342,MAX(0,N(Debts!$E$10)))</f>
        <v>0</v>
      </c>
      <c r="AP342" s="56" t="n">
        <f aca="false">MIN(AF342,MAX(0,N(Debts!$E$11)))</f>
        <v>0</v>
      </c>
      <c r="AQ342" s="56" t="n">
        <f aca="false">MIN(AG342,MAX(0,N(Debts!$E$12)))</f>
        <v>0</v>
      </c>
      <c r="AR342" s="56" t="n">
        <f aca="false">MIN(AH342,MAX(0,N(Debts!$E$13)))</f>
        <v>0</v>
      </c>
      <c r="AS342" s="56" t="n">
        <f aca="false">MIN(AI342,MAX(0,N(Debts!$E$14)))</f>
        <v>0</v>
      </c>
    </row>
    <row r="343" customFormat="false" ht="15" hidden="false" customHeight="false" outlineLevel="0" collapsed="false">
      <c r="A343" s="53" t="n">
        <v>339</v>
      </c>
      <c r="B343" s="54" t="n">
        <f aca="false">EDATE('Start Here'!$B$8,338)</f>
        <v>56615</v>
      </c>
      <c r="C343" s="42" t="n">
        <f aca="false">SUM(F343:O343)</f>
        <v>0</v>
      </c>
      <c r="D343" s="42" t="n">
        <f aca="false">ROUND(SUM($Z343:$AI343)-SUM(P342:Y342),2)</f>
        <v>0</v>
      </c>
      <c r="E343" s="55" t="n">
        <f aca="false">SUM(P343:Y343)</f>
        <v>0</v>
      </c>
      <c r="F343" s="42" t="n">
        <f aca="false">AJ343+MIN(Z343-AJ343,MAX(0,'Start Here'!$B$10-SUM($AJ343:$AS343)-SUMPRODUCT(($Z$3:$AI$3&lt;Z$3)*($Z343:$AI343-$AJ343:$AS343))))</f>
        <v>0</v>
      </c>
      <c r="G343" s="42" t="n">
        <f aca="false">AK343+MIN(AA343-AK343,MAX(0,'Start Here'!$B$10-SUM($AJ343:$AS343)-SUMPRODUCT(($Z$3:$AI$3&lt;AA$3)*($Z343:$AI343-$AJ343:$AS343))))</f>
        <v>0</v>
      </c>
      <c r="H343" s="42" t="n">
        <f aca="false">AL343+MIN(AB343-AL343,MAX(0,'Start Here'!$B$10-SUM($AJ343:$AS343)-SUMPRODUCT(($Z$3:$AI$3&lt;AB$3)*($Z343:$AI343-$AJ343:$AS343))))</f>
        <v>0</v>
      </c>
      <c r="I343" s="42" t="n">
        <f aca="false">AM343+MIN(AC343-AM343,MAX(0,'Start Here'!$B$10-SUM($AJ343:$AS343)-SUMPRODUCT(($Z$3:$AI$3&lt;AC$3)*($Z343:$AI343-$AJ343:$AS343))))</f>
        <v>0</v>
      </c>
      <c r="J343" s="42" t="n">
        <f aca="false">AN343+MIN(AD343-AN343,MAX(0,'Start Here'!$B$10-SUM($AJ343:$AS343)-SUMPRODUCT(($Z$3:$AI$3&lt;AD$3)*($Z343:$AI343-$AJ343:$AS343))))</f>
        <v>0</v>
      </c>
      <c r="K343" s="42" t="n">
        <f aca="false">AO343+MIN(AE343-AO343,MAX(0,'Start Here'!$B$10-SUM($AJ343:$AS343)-SUMPRODUCT(($Z$3:$AI$3&lt;AE$3)*($Z343:$AI343-$AJ343:$AS343))))</f>
        <v>0</v>
      </c>
      <c r="L343" s="42" t="n">
        <f aca="false">AP343+MIN(AF343-AP343,MAX(0,'Start Here'!$B$10-SUM($AJ343:$AS343)-SUMPRODUCT(($Z$3:$AI$3&lt;AF$3)*($Z343:$AI343-$AJ343:$AS343))))</f>
        <v>0</v>
      </c>
      <c r="M343" s="42" t="n">
        <f aca="false">AQ343+MIN(AG343-AQ343,MAX(0,'Start Here'!$B$10-SUM($AJ343:$AS343)-SUMPRODUCT(($Z$3:$AI$3&lt;AG$3)*($Z343:$AI343-$AJ343:$AS343))))</f>
        <v>0</v>
      </c>
      <c r="N343" s="42" t="n">
        <f aca="false">AR343+MIN(AH343-AR343,MAX(0,'Start Here'!$B$10-SUM($AJ343:$AS343)-SUMPRODUCT(($Z$3:$AI$3&lt;AH$3)*($Z343:$AI343-$AJ343:$AS343))))</f>
        <v>0</v>
      </c>
      <c r="O343" s="42" t="n">
        <f aca="false">AS343+MIN(AI343-AS343,MAX(0,'Start Here'!$B$10-SUM($AJ343:$AS343)-SUMPRODUCT(($Z$3:$AI$3&lt;AI$3)*($Z343:$AI343-$AJ343:$AS343))))</f>
        <v>0</v>
      </c>
      <c r="P343" s="42" t="n">
        <f aca="false">ROUND(Z343-F343,2)</f>
        <v>0</v>
      </c>
      <c r="Q343" s="42" t="n">
        <f aca="false">ROUND(AA343-G343,2)</f>
        <v>0</v>
      </c>
      <c r="R343" s="42" t="n">
        <f aca="false">ROUND(AB343-H343,2)</f>
        <v>0</v>
      </c>
      <c r="S343" s="42" t="n">
        <f aca="false">ROUND(AC343-I343,2)</f>
        <v>0</v>
      </c>
      <c r="T343" s="42" t="n">
        <f aca="false">ROUND(AD343-J343,2)</f>
        <v>0</v>
      </c>
      <c r="U343" s="42" t="n">
        <f aca="false">ROUND(AE343-K343,2)</f>
        <v>0</v>
      </c>
      <c r="V343" s="42" t="n">
        <f aca="false">ROUND(AF343-L343,2)</f>
        <v>0</v>
      </c>
      <c r="W343" s="42" t="n">
        <f aca="false">ROUND(AG343-M343,2)</f>
        <v>0</v>
      </c>
      <c r="X343" s="42" t="n">
        <f aca="false">ROUND(AH343-N343,2)</f>
        <v>0</v>
      </c>
      <c r="Y343" s="42" t="n">
        <f aca="false">ROUND(AI343-O343,2)</f>
        <v>0</v>
      </c>
      <c r="Z343" s="56" t="n">
        <f aca="false">ROUND(P342*(1+N(Debts!$D$5)/12),2)</f>
        <v>0</v>
      </c>
      <c r="AA343" s="56" t="n">
        <f aca="false">ROUND(Q342*(1+N(Debts!$D$6)/12),2)</f>
        <v>0</v>
      </c>
      <c r="AB343" s="56" t="n">
        <f aca="false">ROUND(R342*(1+N(Debts!$D$7)/12),2)</f>
        <v>0</v>
      </c>
      <c r="AC343" s="56" t="n">
        <f aca="false">ROUND(S342*(1+N(Debts!$D$8)/12),2)</f>
        <v>0</v>
      </c>
      <c r="AD343" s="56" t="n">
        <f aca="false">ROUND(T342*(1+N(Debts!$D$9)/12),2)</f>
        <v>0</v>
      </c>
      <c r="AE343" s="56" t="n">
        <f aca="false">ROUND(U342*(1+N(Debts!$D$10)/12),2)</f>
        <v>0</v>
      </c>
      <c r="AF343" s="56" t="n">
        <f aca="false">ROUND(V342*(1+N(Debts!$D$11)/12),2)</f>
        <v>0</v>
      </c>
      <c r="AG343" s="56" t="n">
        <f aca="false">ROUND(W342*(1+N(Debts!$D$12)/12),2)</f>
        <v>0</v>
      </c>
      <c r="AH343" s="56" t="n">
        <f aca="false">ROUND(X342*(1+N(Debts!$D$13)/12),2)</f>
        <v>0</v>
      </c>
      <c r="AI343" s="56" t="n">
        <f aca="false">ROUND(Y342*(1+N(Debts!$D$14)/12),2)</f>
        <v>0</v>
      </c>
      <c r="AJ343" s="56" t="n">
        <f aca="false">MIN(Z343,MAX(0,N(Debts!$E$5)))</f>
        <v>0</v>
      </c>
      <c r="AK343" s="56" t="n">
        <f aca="false">MIN(AA343,MAX(0,N(Debts!$E$6)))</f>
        <v>0</v>
      </c>
      <c r="AL343" s="56" t="n">
        <f aca="false">MIN(AB343,MAX(0,N(Debts!$E$7)))</f>
        <v>0</v>
      </c>
      <c r="AM343" s="56" t="n">
        <f aca="false">MIN(AC343,MAX(0,N(Debts!$E$8)))</f>
        <v>0</v>
      </c>
      <c r="AN343" s="56" t="n">
        <f aca="false">MIN(AD343,MAX(0,N(Debts!$E$9)))</f>
        <v>0</v>
      </c>
      <c r="AO343" s="56" t="n">
        <f aca="false">MIN(AE343,MAX(0,N(Debts!$E$10)))</f>
        <v>0</v>
      </c>
      <c r="AP343" s="56" t="n">
        <f aca="false">MIN(AF343,MAX(0,N(Debts!$E$11)))</f>
        <v>0</v>
      </c>
      <c r="AQ343" s="56" t="n">
        <f aca="false">MIN(AG343,MAX(0,N(Debts!$E$12)))</f>
        <v>0</v>
      </c>
      <c r="AR343" s="56" t="n">
        <f aca="false">MIN(AH343,MAX(0,N(Debts!$E$13)))</f>
        <v>0</v>
      </c>
      <c r="AS343" s="56" t="n">
        <f aca="false">MIN(AI343,MAX(0,N(Debts!$E$14)))</f>
        <v>0</v>
      </c>
    </row>
    <row r="344" customFormat="false" ht="15" hidden="false" customHeight="false" outlineLevel="0" collapsed="false">
      <c r="A344" s="53" t="n">
        <v>340</v>
      </c>
      <c r="B344" s="54" t="n">
        <f aca="false">EDATE('Start Here'!$B$8,339)</f>
        <v>56646</v>
      </c>
      <c r="C344" s="42" t="n">
        <f aca="false">SUM(F344:O344)</f>
        <v>0</v>
      </c>
      <c r="D344" s="42" t="n">
        <f aca="false">ROUND(SUM($Z344:$AI344)-SUM(P343:Y343),2)</f>
        <v>0</v>
      </c>
      <c r="E344" s="55" t="n">
        <f aca="false">SUM(P344:Y344)</f>
        <v>0</v>
      </c>
      <c r="F344" s="42" t="n">
        <f aca="false">AJ344+MIN(Z344-AJ344,MAX(0,'Start Here'!$B$10-SUM($AJ344:$AS344)-SUMPRODUCT(($Z$3:$AI$3&lt;Z$3)*($Z344:$AI344-$AJ344:$AS344))))</f>
        <v>0</v>
      </c>
      <c r="G344" s="42" t="n">
        <f aca="false">AK344+MIN(AA344-AK344,MAX(0,'Start Here'!$B$10-SUM($AJ344:$AS344)-SUMPRODUCT(($Z$3:$AI$3&lt;AA$3)*($Z344:$AI344-$AJ344:$AS344))))</f>
        <v>0</v>
      </c>
      <c r="H344" s="42" t="n">
        <f aca="false">AL344+MIN(AB344-AL344,MAX(0,'Start Here'!$B$10-SUM($AJ344:$AS344)-SUMPRODUCT(($Z$3:$AI$3&lt;AB$3)*($Z344:$AI344-$AJ344:$AS344))))</f>
        <v>0</v>
      </c>
      <c r="I344" s="42" t="n">
        <f aca="false">AM344+MIN(AC344-AM344,MAX(0,'Start Here'!$B$10-SUM($AJ344:$AS344)-SUMPRODUCT(($Z$3:$AI$3&lt;AC$3)*($Z344:$AI344-$AJ344:$AS344))))</f>
        <v>0</v>
      </c>
      <c r="J344" s="42" t="n">
        <f aca="false">AN344+MIN(AD344-AN344,MAX(0,'Start Here'!$B$10-SUM($AJ344:$AS344)-SUMPRODUCT(($Z$3:$AI$3&lt;AD$3)*($Z344:$AI344-$AJ344:$AS344))))</f>
        <v>0</v>
      </c>
      <c r="K344" s="42" t="n">
        <f aca="false">AO344+MIN(AE344-AO344,MAX(0,'Start Here'!$B$10-SUM($AJ344:$AS344)-SUMPRODUCT(($Z$3:$AI$3&lt;AE$3)*($Z344:$AI344-$AJ344:$AS344))))</f>
        <v>0</v>
      </c>
      <c r="L344" s="42" t="n">
        <f aca="false">AP344+MIN(AF344-AP344,MAX(0,'Start Here'!$B$10-SUM($AJ344:$AS344)-SUMPRODUCT(($Z$3:$AI$3&lt;AF$3)*($Z344:$AI344-$AJ344:$AS344))))</f>
        <v>0</v>
      </c>
      <c r="M344" s="42" t="n">
        <f aca="false">AQ344+MIN(AG344-AQ344,MAX(0,'Start Here'!$B$10-SUM($AJ344:$AS344)-SUMPRODUCT(($Z$3:$AI$3&lt;AG$3)*($Z344:$AI344-$AJ344:$AS344))))</f>
        <v>0</v>
      </c>
      <c r="N344" s="42" t="n">
        <f aca="false">AR344+MIN(AH344-AR344,MAX(0,'Start Here'!$B$10-SUM($AJ344:$AS344)-SUMPRODUCT(($Z$3:$AI$3&lt;AH$3)*($Z344:$AI344-$AJ344:$AS344))))</f>
        <v>0</v>
      </c>
      <c r="O344" s="42" t="n">
        <f aca="false">AS344+MIN(AI344-AS344,MAX(0,'Start Here'!$B$10-SUM($AJ344:$AS344)-SUMPRODUCT(($Z$3:$AI$3&lt;AI$3)*($Z344:$AI344-$AJ344:$AS344))))</f>
        <v>0</v>
      </c>
      <c r="P344" s="42" t="n">
        <f aca="false">ROUND(Z344-F344,2)</f>
        <v>0</v>
      </c>
      <c r="Q344" s="42" t="n">
        <f aca="false">ROUND(AA344-G344,2)</f>
        <v>0</v>
      </c>
      <c r="R344" s="42" t="n">
        <f aca="false">ROUND(AB344-H344,2)</f>
        <v>0</v>
      </c>
      <c r="S344" s="42" t="n">
        <f aca="false">ROUND(AC344-I344,2)</f>
        <v>0</v>
      </c>
      <c r="T344" s="42" t="n">
        <f aca="false">ROUND(AD344-J344,2)</f>
        <v>0</v>
      </c>
      <c r="U344" s="42" t="n">
        <f aca="false">ROUND(AE344-K344,2)</f>
        <v>0</v>
      </c>
      <c r="V344" s="42" t="n">
        <f aca="false">ROUND(AF344-L344,2)</f>
        <v>0</v>
      </c>
      <c r="W344" s="42" t="n">
        <f aca="false">ROUND(AG344-M344,2)</f>
        <v>0</v>
      </c>
      <c r="X344" s="42" t="n">
        <f aca="false">ROUND(AH344-N344,2)</f>
        <v>0</v>
      </c>
      <c r="Y344" s="42" t="n">
        <f aca="false">ROUND(AI344-O344,2)</f>
        <v>0</v>
      </c>
      <c r="Z344" s="56" t="n">
        <f aca="false">ROUND(P343*(1+N(Debts!$D$5)/12),2)</f>
        <v>0</v>
      </c>
      <c r="AA344" s="56" t="n">
        <f aca="false">ROUND(Q343*(1+N(Debts!$D$6)/12),2)</f>
        <v>0</v>
      </c>
      <c r="AB344" s="56" t="n">
        <f aca="false">ROUND(R343*(1+N(Debts!$D$7)/12),2)</f>
        <v>0</v>
      </c>
      <c r="AC344" s="56" t="n">
        <f aca="false">ROUND(S343*(1+N(Debts!$D$8)/12),2)</f>
        <v>0</v>
      </c>
      <c r="AD344" s="56" t="n">
        <f aca="false">ROUND(T343*(1+N(Debts!$D$9)/12),2)</f>
        <v>0</v>
      </c>
      <c r="AE344" s="56" t="n">
        <f aca="false">ROUND(U343*(1+N(Debts!$D$10)/12),2)</f>
        <v>0</v>
      </c>
      <c r="AF344" s="56" t="n">
        <f aca="false">ROUND(V343*(1+N(Debts!$D$11)/12),2)</f>
        <v>0</v>
      </c>
      <c r="AG344" s="56" t="n">
        <f aca="false">ROUND(W343*(1+N(Debts!$D$12)/12),2)</f>
        <v>0</v>
      </c>
      <c r="AH344" s="56" t="n">
        <f aca="false">ROUND(X343*(1+N(Debts!$D$13)/12),2)</f>
        <v>0</v>
      </c>
      <c r="AI344" s="56" t="n">
        <f aca="false">ROUND(Y343*(1+N(Debts!$D$14)/12),2)</f>
        <v>0</v>
      </c>
      <c r="AJ344" s="56" t="n">
        <f aca="false">MIN(Z344,MAX(0,N(Debts!$E$5)))</f>
        <v>0</v>
      </c>
      <c r="AK344" s="56" t="n">
        <f aca="false">MIN(AA344,MAX(0,N(Debts!$E$6)))</f>
        <v>0</v>
      </c>
      <c r="AL344" s="56" t="n">
        <f aca="false">MIN(AB344,MAX(0,N(Debts!$E$7)))</f>
        <v>0</v>
      </c>
      <c r="AM344" s="56" t="n">
        <f aca="false">MIN(AC344,MAX(0,N(Debts!$E$8)))</f>
        <v>0</v>
      </c>
      <c r="AN344" s="56" t="n">
        <f aca="false">MIN(AD344,MAX(0,N(Debts!$E$9)))</f>
        <v>0</v>
      </c>
      <c r="AO344" s="56" t="n">
        <f aca="false">MIN(AE344,MAX(0,N(Debts!$E$10)))</f>
        <v>0</v>
      </c>
      <c r="AP344" s="56" t="n">
        <f aca="false">MIN(AF344,MAX(0,N(Debts!$E$11)))</f>
        <v>0</v>
      </c>
      <c r="AQ344" s="56" t="n">
        <f aca="false">MIN(AG344,MAX(0,N(Debts!$E$12)))</f>
        <v>0</v>
      </c>
      <c r="AR344" s="56" t="n">
        <f aca="false">MIN(AH344,MAX(0,N(Debts!$E$13)))</f>
        <v>0</v>
      </c>
      <c r="AS344" s="56" t="n">
        <f aca="false">MIN(AI344,MAX(0,N(Debts!$E$14)))</f>
        <v>0</v>
      </c>
    </row>
    <row r="345" customFormat="false" ht="15" hidden="false" customHeight="false" outlineLevel="0" collapsed="false">
      <c r="A345" s="53" t="n">
        <v>341</v>
      </c>
      <c r="B345" s="54" t="n">
        <f aca="false">EDATE('Start Here'!$B$8,340)</f>
        <v>56674</v>
      </c>
      <c r="C345" s="42" t="n">
        <f aca="false">SUM(F345:O345)</f>
        <v>0</v>
      </c>
      <c r="D345" s="42" t="n">
        <f aca="false">ROUND(SUM($Z345:$AI345)-SUM(P344:Y344),2)</f>
        <v>0</v>
      </c>
      <c r="E345" s="55" t="n">
        <f aca="false">SUM(P345:Y345)</f>
        <v>0</v>
      </c>
      <c r="F345" s="42" t="n">
        <f aca="false">AJ345+MIN(Z345-AJ345,MAX(0,'Start Here'!$B$10-SUM($AJ345:$AS345)-SUMPRODUCT(($Z$3:$AI$3&lt;Z$3)*($Z345:$AI345-$AJ345:$AS345))))</f>
        <v>0</v>
      </c>
      <c r="G345" s="42" t="n">
        <f aca="false">AK345+MIN(AA345-AK345,MAX(0,'Start Here'!$B$10-SUM($AJ345:$AS345)-SUMPRODUCT(($Z$3:$AI$3&lt;AA$3)*($Z345:$AI345-$AJ345:$AS345))))</f>
        <v>0</v>
      </c>
      <c r="H345" s="42" t="n">
        <f aca="false">AL345+MIN(AB345-AL345,MAX(0,'Start Here'!$B$10-SUM($AJ345:$AS345)-SUMPRODUCT(($Z$3:$AI$3&lt;AB$3)*($Z345:$AI345-$AJ345:$AS345))))</f>
        <v>0</v>
      </c>
      <c r="I345" s="42" t="n">
        <f aca="false">AM345+MIN(AC345-AM345,MAX(0,'Start Here'!$B$10-SUM($AJ345:$AS345)-SUMPRODUCT(($Z$3:$AI$3&lt;AC$3)*($Z345:$AI345-$AJ345:$AS345))))</f>
        <v>0</v>
      </c>
      <c r="J345" s="42" t="n">
        <f aca="false">AN345+MIN(AD345-AN345,MAX(0,'Start Here'!$B$10-SUM($AJ345:$AS345)-SUMPRODUCT(($Z$3:$AI$3&lt;AD$3)*($Z345:$AI345-$AJ345:$AS345))))</f>
        <v>0</v>
      </c>
      <c r="K345" s="42" t="n">
        <f aca="false">AO345+MIN(AE345-AO345,MAX(0,'Start Here'!$B$10-SUM($AJ345:$AS345)-SUMPRODUCT(($Z$3:$AI$3&lt;AE$3)*($Z345:$AI345-$AJ345:$AS345))))</f>
        <v>0</v>
      </c>
      <c r="L345" s="42" t="n">
        <f aca="false">AP345+MIN(AF345-AP345,MAX(0,'Start Here'!$B$10-SUM($AJ345:$AS345)-SUMPRODUCT(($Z$3:$AI$3&lt;AF$3)*($Z345:$AI345-$AJ345:$AS345))))</f>
        <v>0</v>
      </c>
      <c r="M345" s="42" t="n">
        <f aca="false">AQ345+MIN(AG345-AQ345,MAX(0,'Start Here'!$B$10-SUM($AJ345:$AS345)-SUMPRODUCT(($Z$3:$AI$3&lt;AG$3)*($Z345:$AI345-$AJ345:$AS345))))</f>
        <v>0</v>
      </c>
      <c r="N345" s="42" t="n">
        <f aca="false">AR345+MIN(AH345-AR345,MAX(0,'Start Here'!$B$10-SUM($AJ345:$AS345)-SUMPRODUCT(($Z$3:$AI$3&lt;AH$3)*($Z345:$AI345-$AJ345:$AS345))))</f>
        <v>0</v>
      </c>
      <c r="O345" s="42" t="n">
        <f aca="false">AS345+MIN(AI345-AS345,MAX(0,'Start Here'!$B$10-SUM($AJ345:$AS345)-SUMPRODUCT(($Z$3:$AI$3&lt;AI$3)*($Z345:$AI345-$AJ345:$AS345))))</f>
        <v>0</v>
      </c>
      <c r="P345" s="42" t="n">
        <f aca="false">ROUND(Z345-F345,2)</f>
        <v>0</v>
      </c>
      <c r="Q345" s="42" t="n">
        <f aca="false">ROUND(AA345-G345,2)</f>
        <v>0</v>
      </c>
      <c r="R345" s="42" t="n">
        <f aca="false">ROUND(AB345-H345,2)</f>
        <v>0</v>
      </c>
      <c r="S345" s="42" t="n">
        <f aca="false">ROUND(AC345-I345,2)</f>
        <v>0</v>
      </c>
      <c r="T345" s="42" t="n">
        <f aca="false">ROUND(AD345-J345,2)</f>
        <v>0</v>
      </c>
      <c r="U345" s="42" t="n">
        <f aca="false">ROUND(AE345-K345,2)</f>
        <v>0</v>
      </c>
      <c r="V345" s="42" t="n">
        <f aca="false">ROUND(AF345-L345,2)</f>
        <v>0</v>
      </c>
      <c r="W345" s="42" t="n">
        <f aca="false">ROUND(AG345-M345,2)</f>
        <v>0</v>
      </c>
      <c r="X345" s="42" t="n">
        <f aca="false">ROUND(AH345-N345,2)</f>
        <v>0</v>
      </c>
      <c r="Y345" s="42" t="n">
        <f aca="false">ROUND(AI345-O345,2)</f>
        <v>0</v>
      </c>
      <c r="Z345" s="56" t="n">
        <f aca="false">ROUND(P344*(1+N(Debts!$D$5)/12),2)</f>
        <v>0</v>
      </c>
      <c r="AA345" s="56" t="n">
        <f aca="false">ROUND(Q344*(1+N(Debts!$D$6)/12),2)</f>
        <v>0</v>
      </c>
      <c r="AB345" s="56" t="n">
        <f aca="false">ROUND(R344*(1+N(Debts!$D$7)/12),2)</f>
        <v>0</v>
      </c>
      <c r="AC345" s="56" t="n">
        <f aca="false">ROUND(S344*(1+N(Debts!$D$8)/12),2)</f>
        <v>0</v>
      </c>
      <c r="AD345" s="56" t="n">
        <f aca="false">ROUND(T344*(1+N(Debts!$D$9)/12),2)</f>
        <v>0</v>
      </c>
      <c r="AE345" s="56" t="n">
        <f aca="false">ROUND(U344*(1+N(Debts!$D$10)/12),2)</f>
        <v>0</v>
      </c>
      <c r="AF345" s="56" t="n">
        <f aca="false">ROUND(V344*(1+N(Debts!$D$11)/12),2)</f>
        <v>0</v>
      </c>
      <c r="AG345" s="56" t="n">
        <f aca="false">ROUND(W344*(1+N(Debts!$D$12)/12),2)</f>
        <v>0</v>
      </c>
      <c r="AH345" s="56" t="n">
        <f aca="false">ROUND(X344*(1+N(Debts!$D$13)/12),2)</f>
        <v>0</v>
      </c>
      <c r="AI345" s="56" t="n">
        <f aca="false">ROUND(Y344*(1+N(Debts!$D$14)/12),2)</f>
        <v>0</v>
      </c>
      <c r="AJ345" s="56" t="n">
        <f aca="false">MIN(Z345,MAX(0,N(Debts!$E$5)))</f>
        <v>0</v>
      </c>
      <c r="AK345" s="56" t="n">
        <f aca="false">MIN(AA345,MAX(0,N(Debts!$E$6)))</f>
        <v>0</v>
      </c>
      <c r="AL345" s="56" t="n">
        <f aca="false">MIN(AB345,MAX(0,N(Debts!$E$7)))</f>
        <v>0</v>
      </c>
      <c r="AM345" s="56" t="n">
        <f aca="false">MIN(AC345,MAX(0,N(Debts!$E$8)))</f>
        <v>0</v>
      </c>
      <c r="AN345" s="56" t="n">
        <f aca="false">MIN(AD345,MAX(0,N(Debts!$E$9)))</f>
        <v>0</v>
      </c>
      <c r="AO345" s="56" t="n">
        <f aca="false">MIN(AE345,MAX(0,N(Debts!$E$10)))</f>
        <v>0</v>
      </c>
      <c r="AP345" s="56" t="n">
        <f aca="false">MIN(AF345,MAX(0,N(Debts!$E$11)))</f>
        <v>0</v>
      </c>
      <c r="AQ345" s="56" t="n">
        <f aca="false">MIN(AG345,MAX(0,N(Debts!$E$12)))</f>
        <v>0</v>
      </c>
      <c r="AR345" s="56" t="n">
        <f aca="false">MIN(AH345,MAX(0,N(Debts!$E$13)))</f>
        <v>0</v>
      </c>
      <c r="AS345" s="56" t="n">
        <f aca="false">MIN(AI345,MAX(0,N(Debts!$E$14)))</f>
        <v>0</v>
      </c>
    </row>
    <row r="346" customFormat="false" ht="15" hidden="false" customHeight="false" outlineLevel="0" collapsed="false">
      <c r="A346" s="53" t="n">
        <v>342</v>
      </c>
      <c r="B346" s="54" t="n">
        <f aca="false">EDATE('Start Here'!$B$8,341)</f>
        <v>56705</v>
      </c>
      <c r="C346" s="42" t="n">
        <f aca="false">SUM(F346:O346)</f>
        <v>0</v>
      </c>
      <c r="D346" s="42" t="n">
        <f aca="false">ROUND(SUM($Z346:$AI346)-SUM(P345:Y345),2)</f>
        <v>0</v>
      </c>
      <c r="E346" s="55" t="n">
        <f aca="false">SUM(P346:Y346)</f>
        <v>0</v>
      </c>
      <c r="F346" s="42" t="n">
        <f aca="false">AJ346+MIN(Z346-AJ346,MAX(0,'Start Here'!$B$10-SUM($AJ346:$AS346)-SUMPRODUCT(($Z$3:$AI$3&lt;Z$3)*($Z346:$AI346-$AJ346:$AS346))))</f>
        <v>0</v>
      </c>
      <c r="G346" s="42" t="n">
        <f aca="false">AK346+MIN(AA346-AK346,MAX(0,'Start Here'!$B$10-SUM($AJ346:$AS346)-SUMPRODUCT(($Z$3:$AI$3&lt;AA$3)*($Z346:$AI346-$AJ346:$AS346))))</f>
        <v>0</v>
      </c>
      <c r="H346" s="42" t="n">
        <f aca="false">AL346+MIN(AB346-AL346,MAX(0,'Start Here'!$B$10-SUM($AJ346:$AS346)-SUMPRODUCT(($Z$3:$AI$3&lt;AB$3)*($Z346:$AI346-$AJ346:$AS346))))</f>
        <v>0</v>
      </c>
      <c r="I346" s="42" t="n">
        <f aca="false">AM346+MIN(AC346-AM346,MAX(0,'Start Here'!$B$10-SUM($AJ346:$AS346)-SUMPRODUCT(($Z$3:$AI$3&lt;AC$3)*($Z346:$AI346-$AJ346:$AS346))))</f>
        <v>0</v>
      </c>
      <c r="J346" s="42" t="n">
        <f aca="false">AN346+MIN(AD346-AN346,MAX(0,'Start Here'!$B$10-SUM($AJ346:$AS346)-SUMPRODUCT(($Z$3:$AI$3&lt;AD$3)*($Z346:$AI346-$AJ346:$AS346))))</f>
        <v>0</v>
      </c>
      <c r="K346" s="42" t="n">
        <f aca="false">AO346+MIN(AE346-AO346,MAX(0,'Start Here'!$B$10-SUM($AJ346:$AS346)-SUMPRODUCT(($Z$3:$AI$3&lt;AE$3)*($Z346:$AI346-$AJ346:$AS346))))</f>
        <v>0</v>
      </c>
      <c r="L346" s="42" t="n">
        <f aca="false">AP346+MIN(AF346-AP346,MAX(0,'Start Here'!$B$10-SUM($AJ346:$AS346)-SUMPRODUCT(($Z$3:$AI$3&lt;AF$3)*($Z346:$AI346-$AJ346:$AS346))))</f>
        <v>0</v>
      </c>
      <c r="M346" s="42" t="n">
        <f aca="false">AQ346+MIN(AG346-AQ346,MAX(0,'Start Here'!$B$10-SUM($AJ346:$AS346)-SUMPRODUCT(($Z$3:$AI$3&lt;AG$3)*($Z346:$AI346-$AJ346:$AS346))))</f>
        <v>0</v>
      </c>
      <c r="N346" s="42" t="n">
        <f aca="false">AR346+MIN(AH346-AR346,MAX(0,'Start Here'!$B$10-SUM($AJ346:$AS346)-SUMPRODUCT(($Z$3:$AI$3&lt;AH$3)*($Z346:$AI346-$AJ346:$AS346))))</f>
        <v>0</v>
      </c>
      <c r="O346" s="42" t="n">
        <f aca="false">AS346+MIN(AI346-AS346,MAX(0,'Start Here'!$B$10-SUM($AJ346:$AS346)-SUMPRODUCT(($Z$3:$AI$3&lt;AI$3)*($Z346:$AI346-$AJ346:$AS346))))</f>
        <v>0</v>
      </c>
      <c r="P346" s="42" t="n">
        <f aca="false">ROUND(Z346-F346,2)</f>
        <v>0</v>
      </c>
      <c r="Q346" s="42" t="n">
        <f aca="false">ROUND(AA346-G346,2)</f>
        <v>0</v>
      </c>
      <c r="R346" s="42" t="n">
        <f aca="false">ROUND(AB346-H346,2)</f>
        <v>0</v>
      </c>
      <c r="S346" s="42" t="n">
        <f aca="false">ROUND(AC346-I346,2)</f>
        <v>0</v>
      </c>
      <c r="T346" s="42" t="n">
        <f aca="false">ROUND(AD346-J346,2)</f>
        <v>0</v>
      </c>
      <c r="U346" s="42" t="n">
        <f aca="false">ROUND(AE346-K346,2)</f>
        <v>0</v>
      </c>
      <c r="V346" s="42" t="n">
        <f aca="false">ROUND(AF346-L346,2)</f>
        <v>0</v>
      </c>
      <c r="W346" s="42" t="n">
        <f aca="false">ROUND(AG346-M346,2)</f>
        <v>0</v>
      </c>
      <c r="X346" s="42" t="n">
        <f aca="false">ROUND(AH346-N346,2)</f>
        <v>0</v>
      </c>
      <c r="Y346" s="42" t="n">
        <f aca="false">ROUND(AI346-O346,2)</f>
        <v>0</v>
      </c>
      <c r="Z346" s="56" t="n">
        <f aca="false">ROUND(P345*(1+N(Debts!$D$5)/12),2)</f>
        <v>0</v>
      </c>
      <c r="AA346" s="56" t="n">
        <f aca="false">ROUND(Q345*(1+N(Debts!$D$6)/12),2)</f>
        <v>0</v>
      </c>
      <c r="AB346" s="56" t="n">
        <f aca="false">ROUND(R345*(1+N(Debts!$D$7)/12),2)</f>
        <v>0</v>
      </c>
      <c r="AC346" s="56" t="n">
        <f aca="false">ROUND(S345*(1+N(Debts!$D$8)/12),2)</f>
        <v>0</v>
      </c>
      <c r="AD346" s="56" t="n">
        <f aca="false">ROUND(T345*(1+N(Debts!$D$9)/12),2)</f>
        <v>0</v>
      </c>
      <c r="AE346" s="56" t="n">
        <f aca="false">ROUND(U345*(1+N(Debts!$D$10)/12),2)</f>
        <v>0</v>
      </c>
      <c r="AF346" s="56" t="n">
        <f aca="false">ROUND(V345*(1+N(Debts!$D$11)/12),2)</f>
        <v>0</v>
      </c>
      <c r="AG346" s="56" t="n">
        <f aca="false">ROUND(W345*(1+N(Debts!$D$12)/12),2)</f>
        <v>0</v>
      </c>
      <c r="AH346" s="56" t="n">
        <f aca="false">ROUND(X345*(1+N(Debts!$D$13)/12),2)</f>
        <v>0</v>
      </c>
      <c r="AI346" s="56" t="n">
        <f aca="false">ROUND(Y345*(1+N(Debts!$D$14)/12),2)</f>
        <v>0</v>
      </c>
      <c r="AJ346" s="56" t="n">
        <f aca="false">MIN(Z346,MAX(0,N(Debts!$E$5)))</f>
        <v>0</v>
      </c>
      <c r="AK346" s="56" t="n">
        <f aca="false">MIN(AA346,MAX(0,N(Debts!$E$6)))</f>
        <v>0</v>
      </c>
      <c r="AL346" s="56" t="n">
        <f aca="false">MIN(AB346,MAX(0,N(Debts!$E$7)))</f>
        <v>0</v>
      </c>
      <c r="AM346" s="56" t="n">
        <f aca="false">MIN(AC346,MAX(0,N(Debts!$E$8)))</f>
        <v>0</v>
      </c>
      <c r="AN346" s="56" t="n">
        <f aca="false">MIN(AD346,MAX(0,N(Debts!$E$9)))</f>
        <v>0</v>
      </c>
      <c r="AO346" s="56" t="n">
        <f aca="false">MIN(AE346,MAX(0,N(Debts!$E$10)))</f>
        <v>0</v>
      </c>
      <c r="AP346" s="56" t="n">
        <f aca="false">MIN(AF346,MAX(0,N(Debts!$E$11)))</f>
        <v>0</v>
      </c>
      <c r="AQ346" s="56" t="n">
        <f aca="false">MIN(AG346,MAX(0,N(Debts!$E$12)))</f>
        <v>0</v>
      </c>
      <c r="AR346" s="56" t="n">
        <f aca="false">MIN(AH346,MAX(0,N(Debts!$E$13)))</f>
        <v>0</v>
      </c>
      <c r="AS346" s="56" t="n">
        <f aca="false">MIN(AI346,MAX(0,N(Debts!$E$14)))</f>
        <v>0</v>
      </c>
    </row>
    <row r="347" customFormat="false" ht="15" hidden="false" customHeight="false" outlineLevel="0" collapsed="false">
      <c r="A347" s="53" t="n">
        <v>343</v>
      </c>
      <c r="B347" s="54" t="n">
        <f aca="false">EDATE('Start Here'!$B$8,342)</f>
        <v>56735</v>
      </c>
      <c r="C347" s="42" t="n">
        <f aca="false">SUM(F347:O347)</f>
        <v>0</v>
      </c>
      <c r="D347" s="42" t="n">
        <f aca="false">ROUND(SUM($Z347:$AI347)-SUM(P346:Y346),2)</f>
        <v>0</v>
      </c>
      <c r="E347" s="55" t="n">
        <f aca="false">SUM(P347:Y347)</f>
        <v>0</v>
      </c>
      <c r="F347" s="42" t="n">
        <f aca="false">AJ347+MIN(Z347-AJ347,MAX(0,'Start Here'!$B$10-SUM($AJ347:$AS347)-SUMPRODUCT(($Z$3:$AI$3&lt;Z$3)*($Z347:$AI347-$AJ347:$AS347))))</f>
        <v>0</v>
      </c>
      <c r="G347" s="42" t="n">
        <f aca="false">AK347+MIN(AA347-AK347,MAX(0,'Start Here'!$B$10-SUM($AJ347:$AS347)-SUMPRODUCT(($Z$3:$AI$3&lt;AA$3)*($Z347:$AI347-$AJ347:$AS347))))</f>
        <v>0</v>
      </c>
      <c r="H347" s="42" t="n">
        <f aca="false">AL347+MIN(AB347-AL347,MAX(0,'Start Here'!$B$10-SUM($AJ347:$AS347)-SUMPRODUCT(($Z$3:$AI$3&lt;AB$3)*($Z347:$AI347-$AJ347:$AS347))))</f>
        <v>0</v>
      </c>
      <c r="I347" s="42" t="n">
        <f aca="false">AM347+MIN(AC347-AM347,MAX(0,'Start Here'!$B$10-SUM($AJ347:$AS347)-SUMPRODUCT(($Z$3:$AI$3&lt;AC$3)*($Z347:$AI347-$AJ347:$AS347))))</f>
        <v>0</v>
      </c>
      <c r="J347" s="42" t="n">
        <f aca="false">AN347+MIN(AD347-AN347,MAX(0,'Start Here'!$B$10-SUM($AJ347:$AS347)-SUMPRODUCT(($Z$3:$AI$3&lt;AD$3)*($Z347:$AI347-$AJ347:$AS347))))</f>
        <v>0</v>
      </c>
      <c r="K347" s="42" t="n">
        <f aca="false">AO347+MIN(AE347-AO347,MAX(0,'Start Here'!$B$10-SUM($AJ347:$AS347)-SUMPRODUCT(($Z$3:$AI$3&lt;AE$3)*($Z347:$AI347-$AJ347:$AS347))))</f>
        <v>0</v>
      </c>
      <c r="L347" s="42" t="n">
        <f aca="false">AP347+MIN(AF347-AP347,MAX(0,'Start Here'!$B$10-SUM($AJ347:$AS347)-SUMPRODUCT(($Z$3:$AI$3&lt;AF$3)*($Z347:$AI347-$AJ347:$AS347))))</f>
        <v>0</v>
      </c>
      <c r="M347" s="42" t="n">
        <f aca="false">AQ347+MIN(AG347-AQ347,MAX(0,'Start Here'!$B$10-SUM($AJ347:$AS347)-SUMPRODUCT(($Z$3:$AI$3&lt;AG$3)*($Z347:$AI347-$AJ347:$AS347))))</f>
        <v>0</v>
      </c>
      <c r="N347" s="42" t="n">
        <f aca="false">AR347+MIN(AH347-AR347,MAX(0,'Start Here'!$B$10-SUM($AJ347:$AS347)-SUMPRODUCT(($Z$3:$AI$3&lt;AH$3)*($Z347:$AI347-$AJ347:$AS347))))</f>
        <v>0</v>
      </c>
      <c r="O347" s="42" t="n">
        <f aca="false">AS347+MIN(AI347-AS347,MAX(0,'Start Here'!$B$10-SUM($AJ347:$AS347)-SUMPRODUCT(($Z$3:$AI$3&lt;AI$3)*($Z347:$AI347-$AJ347:$AS347))))</f>
        <v>0</v>
      </c>
      <c r="P347" s="42" t="n">
        <f aca="false">ROUND(Z347-F347,2)</f>
        <v>0</v>
      </c>
      <c r="Q347" s="42" t="n">
        <f aca="false">ROUND(AA347-G347,2)</f>
        <v>0</v>
      </c>
      <c r="R347" s="42" t="n">
        <f aca="false">ROUND(AB347-H347,2)</f>
        <v>0</v>
      </c>
      <c r="S347" s="42" t="n">
        <f aca="false">ROUND(AC347-I347,2)</f>
        <v>0</v>
      </c>
      <c r="T347" s="42" t="n">
        <f aca="false">ROUND(AD347-J347,2)</f>
        <v>0</v>
      </c>
      <c r="U347" s="42" t="n">
        <f aca="false">ROUND(AE347-K347,2)</f>
        <v>0</v>
      </c>
      <c r="V347" s="42" t="n">
        <f aca="false">ROUND(AF347-L347,2)</f>
        <v>0</v>
      </c>
      <c r="W347" s="42" t="n">
        <f aca="false">ROUND(AG347-M347,2)</f>
        <v>0</v>
      </c>
      <c r="X347" s="42" t="n">
        <f aca="false">ROUND(AH347-N347,2)</f>
        <v>0</v>
      </c>
      <c r="Y347" s="42" t="n">
        <f aca="false">ROUND(AI347-O347,2)</f>
        <v>0</v>
      </c>
      <c r="Z347" s="56" t="n">
        <f aca="false">ROUND(P346*(1+N(Debts!$D$5)/12),2)</f>
        <v>0</v>
      </c>
      <c r="AA347" s="56" t="n">
        <f aca="false">ROUND(Q346*(1+N(Debts!$D$6)/12),2)</f>
        <v>0</v>
      </c>
      <c r="AB347" s="56" t="n">
        <f aca="false">ROUND(R346*(1+N(Debts!$D$7)/12),2)</f>
        <v>0</v>
      </c>
      <c r="AC347" s="56" t="n">
        <f aca="false">ROUND(S346*(1+N(Debts!$D$8)/12),2)</f>
        <v>0</v>
      </c>
      <c r="AD347" s="56" t="n">
        <f aca="false">ROUND(T346*(1+N(Debts!$D$9)/12),2)</f>
        <v>0</v>
      </c>
      <c r="AE347" s="56" t="n">
        <f aca="false">ROUND(U346*(1+N(Debts!$D$10)/12),2)</f>
        <v>0</v>
      </c>
      <c r="AF347" s="56" t="n">
        <f aca="false">ROUND(V346*(1+N(Debts!$D$11)/12),2)</f>
        <v>0</v>
      </c>
      <c r="AG347" s="56" t="n">
        <f aca="false">ROUND(W346*(1+N(Debts!$D$12)/12),2)</f>
        <v>0</v>
      </c>
      <c r="AH347" s="56" t="n">
        <f aca="false">ROUND(X346*(1+N(Debts!$D$13)/12),2)</f>
        <v>0</v>
      </c>
      <c r="AI347" s="56" t="n">
        <f aca="false">ROUND(Y346*(1+N(Debts!$D$14)/12),2)</f>
        <v>0</v>
      </c>
      <c r="AJ347" s="56" t="n">
        <f aca="false">MIN(Z347,MAX(0,N(Debts!$E$5)))</f>
        <v>0</v>
      </c>
      <c r="AK347" s="56" t="n">
        <f aca="false">MIN(AA347,MAX(0,N(Debts!$E$6)))</f>
        <v>0</v>
      </c>
      <c r="AL347" s="56" t="n">
        <f aca="false">MIN(AB347,MAX(0,N(Debts!$E$7)))</f>
        <v>0</v>
      </c>
      <c r="AM347" s="56" t="n">
        <f aca="false">MIN(AC347,MAX(0,N(Debts!$E$8)))</f>
        <v>0</v>
      </c>
      <c r="AN347" s="56" t="n">
        <f aca="false">MIN(AD347,MAX(0,N(Debts!$E$9)))</f>
        <v>0</v>
      </c>
      <c r="AO347" s="56" t="n">
        <f aca="false">MIN(AE347,MAX(0,N(Debts!$E$10)))</f>
        <v>0</v>
      </c>
      <c r="AP347" s="56" t="n">
        <f aca="false">MIN(AF347,MAX(0,N(Debts!$E$11)))</f>
        <v>0</v>
      </c>
      <c r="AQ347" s="56" t="n">
        <f aca="false">MIN(AG347,MAX(0,N(Debts!$E$12)))</f>
        <v>0</v>
      </c>
      <c r="AR347" s="56" t="n">
        <f aca="false">MIN(AH347,MAX(0,N(Debts!$E$13)))</f>
        <v>0</v>
      </c>
      <c r="AS347" s="56" t="n">
        <f aca="false">MIN(AI347,MAX(0,N(Debts!$E$14)))</f>
        <v>0</v>
      </c>
    </row>
    <row r="348" customFormat="false" ht="15" hidden="false" customHeight="false" outlineLevel="0" collapsed="false">
      <c r="A348" s="53" t="n">
        <v>344</v>
      </c>
      <c r="B348" s="54" t="n">
        <f aca="false">EDATE('Start Here'!$B$8,343)</f>
        <v>56766</v>
      </c>
      <c r="C348" s="42" t="n">
        <f aca="false">SUM(F348:O348)</f>
        <v>0</v>
      </c>
      <c r="D348" s="42" t="n">
        <f aca="false">ROUND(SUM($Z348:$AI348)-SUM(P347:Y347),2)</f>
        <v>0</v>
      </c>
      <c r="E348" s="55" t="n">
        <f aca="false">SUM(P348:Y348)</f>
        <v>0</v>
      </c>
      <c r="F348" s="42" t="n">
        <f aca="false">AJ348+MIN(Z348-AJ348,MAX(0,'Start Here'!$B$10-SUM($AJ348:$AS348)-SUMPRODUCT(($Z$3:$AI$3&lt;Z$3)*($Z348:$AI348-$AJ348:$AS348))))</f>
        <v>0</v>
      </c>
      <c r="G348" s="42" t="n">
        <f aca="false">AK348+MIN(AA348-AK348,MAX(0,'Start Here'!$B$10-SUM($AJ348:$AS348)-SUMPRODUCT(($Z$3:$AI$3&lt;AA$3)*($Z348:$AI348-$AJ348:$AS348))))</f>
        <v>0</v>
      </c>
      <c r="H348" s="42" t="n">
        <f aca="false">AL348+MIN(AB348-AL348,MAX(0,'Start Here'!$B$10-SUM($AJ348:$AS348)-SUMPRODUCT(($Z$3:$AI$3&lt;AB$3)*($Z348:$AI348-$AJ348:$AS348))))</f>
        <v>0</v>
      </c>
      <c r="I348" s="42" t="n">
        <f aca="false">AM348+MIN(AC348-AM348,MAX(0,'Start Here'!$B$10-SUM($AJ348:$AS348)-SUMPRODUCT(($Z$3:$AI$3&lt;AC$3)*($Z348:$AI348-$AJ348:$AS348))))</f>
        <v>0</v>
      </c>
      <c r="J348" s="42" t="n">
        <f aca="false">AN348+MIN(AD348-AN348,MAX(0,'Start Here'!$B$10-SUM($AJ348:$AS348)-SUMPRODUCT(($Z$3:$AI$3&lt;AD$3)*($Z348:$AI348-$AJ348:$AS348))))</f>
        <v>0</v>
      </c>
      <c r="K348" s="42" t="n">
        <f aca="false">AO348+MIN(AE348-AO348,MAX(0,'Start Here'!$B$10-SUM($AJ348:$AS348)-SUMPRODUCT(($Z$3:$AI$3&lt;AE$3)*($Z348:$AI348-$AJ348:$AS348))))</f>
        <v>0</v>
      </c>
      <c r="L348" s="42" t="n">
        <f aca="false">AP348+MIN(AF348-AP348,MAX(0,'Start Here'!$B$10-SUM($AJ348:$AS348)-SUMPRODUCT(($Z$3:$AI$3&lt;AF$3)*($Z348:$AI348-$AJ348:$AS348))))</f>
        <v>0</v>
      </c>
      <c r="M348" s="42" t="n">
        <f aca="false">AQ348+MIN(AG348-AQ348,MAX(0,'Start Here'!$B$10-SUM($AJ348:$AS348)-SUMPRODUCT(($Z$3:$AI$3&lt;AG$3)*($Z348:$AI348-$AJ348:$AS348))))</f>
        <v>0</v>
      </c>
      <c r="N348" s="42" t="n">
        <f aca="false">AR348+MIN(AH348-AR348,MAX(0,'Start Here'!$B$10-SUM($AJ348:$AS348)-SUMPRODUCT(($Z$3:$AI$3&lt;AH$3)*($Z348:$AI348-$AJ348:$AS348))))</f>
        <v>0</v>
      </c>
      <c r="O348" s="42" t="n">
        <f aca="false">AS348+MIN(AI348-AS348,MAX(0,'Start Here'!$B$10-SUM($AJ348:$AS348)-SUMPRODUCT(($Z$3:$AI$3&lt;AI$3)*($Z348:$AI348-$AJ348:$AS348))))</f>
        <v>0</v>
      </c>
      <c r="P348" s="42" t="n">
        <f aca="false">ROUND(Z348-F348,2)</f>
        <v>0</v>
      </c>
      <c r="Q348" s="42" t="n">
        <f aca="false">ROUND(AA348-G348,2)</f>
        <v>0</v>
      </c>
      <c r="R348" s="42" t="n">
        <f aca="false">ROUND(AB348-H348,2)</f>
        <v>0</v>
      </c>
      <c r="S348" s="42" t="n">
        <f aca="false">ROUND(AC348-I348,2)</f>
        <v>0</v>
      </c>
      <c r="T348" s="42" t="n">
        <f aca="false">ROUND(AD348-J348,2)</f>
        <v>0</v>
      </c>
      <c r="U348" s="42" t="n">
        <f aca="false">ROUND(AE348-K348,2)</f>
        <v>0</v>
      </c>
      <c r="V348" s="42" t="n">
        <f aca="false">ROUND(AF348-L348,2)</f>
        <v>0</v>
      </c>
      <c r="W348" s="42" t="n">
        <f aca="false">ROUND(AG348-M348,2)</f>
        <v>0</v>
      </c>
      <c r="X348" s="42" t="n">
        <f aca="false">ROUND(AH348-N348,2)</f>
        <v>0</v>
      </c>
      <c r="Y348" s="42" t="n">
        <f aca="false">ROUND(AI348-O348,2)</f>
        <v>0</v>
      </c>
      <c r="Z348" s="56" t="n">
        <f aca="false">ROUND(P347*(1+N(Debts!$D$5)/12),2)</f>
        <v>0</v>
      </c>
      <c r="AA348" s="56" t="n">
        <f aca="false">ROUND(Q347*(1+N(Debts!$D$6)/12),2)</f>
        <v>0</v>
      </c>
      <c r="AB348" s="56" t="n">
        <f aca="false">ROUND(R347*(1+N(Debts!$D$7)/12),2)</f>
        <v>0</v>
      </c>
      <c r="AC348" s="56" t="n">
        <f aca="false">ROUND(S347*(1+N(Debts!$D$8)/12),2)</f>
        <v>0</v>
      </c>
      <c r="AD348" s="56" t="n">
        <f aca="false">ROUND(T347*(1+N(Debts!$D$9)/12),2)</f>
        <v>0</v>
      </c>
      <c r="AE348" s="56" t="n">
        <f aca="false">ROUND(U347*(1+N(Debts!$D$10)/12),2)</f>
        <v>0</v>
      </c>
      <c r="AF348" s="56" t="n">
        <f aca="false">ROUND(V347*(1+N(Debts!$D$11)/12),2)</f>
        <v>0</v>
      </c>
      <c r="AG348" s="56" t="n">
        <f aca="false">ROUND(W347*(1+N(Debts!$D$12)/12),2)</f>
        <v>0</v>
      </c>
      <c r="AH348" s="56" t="n">
        <f aca="false">ROUND(X347*(1+N(Debts!$D$13)/12),2)</f>
        <v>0</v>
      </c>
      <c r="AI348" s="56" t="n">
        <f aca="false">ROUND(Y347*(1+N(Debts!$D$14)/12),2)</f>
        <v>0</v>
      </c>
      <c r="AJ348" s="56" t="n">
        <f aca="false">MIN(Z348,MAX(0,N(Debts!$E$5)))</f>
        <v>0</v>
      </c>
      <c r="AK348" s="56" t="n">
        <f aca="false">MIN(AA348,MAX(0,N(Debts!$E$6)))</f>
        <v>0</v>
      </c>
      <c r="AL348" s="56" t="n">
        <f aca="false">MIN(AB348,MAX(0,N(Debts!$E$7)))</f>
        <v>0</v>
      </c>
      <c r="AM348" s="56" t="n">
        <f aca="false">MIN(AC348,MAX(0,N(Debts!$E$8)))</f>
        <v>0</v>
      </c>
      <c r="AN348" s="56" t="n">
        <f aca="false">MIN(AD348,MAX(0,N(Debts!$E$9)))</f>
        <v>0</v>
      </c>
      <c r="AO348" s="56" t="n">
        <f aca="false">MIN(AE348,MAX(0,N(Debts!$E$10)))</f>
        <v>0</v>
      </c>
      <c r="AP348" s="56" t="n">
        <f aca="false">MIN(AF348,MAX(0,N(Debts!$E$11)))</f>
        <v>0</v>
      </c>
      <c r="AQ348" s="56" t="n">
        <f aca="false">MIN(AG348,MAX(0,N(Debts!$E$12)))</f>
        <v>0</v>
      </c>
      <c r="AR348" s="56" t="n">
        <f aca="false">MIN(AH348,MAX(0,N(Debts!$E$13)))</f>
        <v>0</v>
      </c>
      <c r="AS348" s="56" t="n">
        <f aca="false">MIN(AI348,MAX(0,N(Debts!$E$14)))</f>
        <v>0</v>
      </c>
    </row>
    <row r="349" customFormat="false" ht="15" hidden="false" customHeight="false" outlineLevel="0" collapsed="false">
      <c r="A349" s="53" t="n">
        <v>345</v>
      </c>
      <c r="B349" s="54" t="n">
        <f aca="false">EDATE('Start Here'!$B$8,344)</f>
        <v>56796</v>
      </c>
      <c r="C349" s="42" t="n">
        <f aca="false">SUM(F349:O349)</f>
        <v>0</v>
      </c>
      <c r="D349" s="42" t="n">
        <f aca="false">ROUND(SUM($Z349:$AI349)-SUM(P348:Y348),2)</f>
        <v>0</v>
      </c>
      <c r="E349" s="55" t="n">
        <f aca="false">SUM(P349:Y349)</f>
        <v>0</v>
      </c>
      <c r="F349" s="42" t="n">
        <f aca="false">AJ349+MIN(Z349-AJ349,MAX(0,'Start Here'!$B$10-SUM($AJ349:$AS349)-SUMPRODUCT(($Z$3:$AI$3&lt;Z$3)*($Z349:$AI349-$AJ349:$AS349))))</f>
        <v>0</v>
      </c>
      <c r="G349" s="42" t="n">
        <f aca="false">AK349+MIN(AA349-AK349,MAX(0,'Start Here'!$B$10-SUM($AJ349:$AS349)-SUMPRODUCT(($Z$3:$AI$3&lt;AA$3)*($Z349:$AI349-$AJ349:$AS349))))</f>
        <v>0</v>
      </c>
      <c r="H349" s="42" t="n">
        <f aca="false">AL349+MIN(AB349-AL349,MAX(0,'Start Here'!$B$10-SUM($AJ349:$AS349)-SUMPRODUCT(($Z$3:$AI$3&lt;AB$3)*($Z349:$AI349-$AJ349:$AS349))))</f>
        <v>0</v>
      </c>
      <c r="I349" s="42" t="n">
        <f aca="false">AM349+MIN(AC349-AM349,MAX(0,'Start Here'!$B$10-SUM($AJ349:$AS349)-SUMPRODUCT(($Z$3:$AI$3&lt;AC$3)*($Z349:$AI349-$AJ349:$AS349))))</f>
        <v>0</v>
      </c>
      <c r="J349" s="42" t="n">
        <f aca="false">AN349+MIN(AD349-AN349,MAX(0,'Start Here'!$B$10-SUM($AJ349:$AS349)-SUMPRODUCT(($Z$3:$AI$3&lt;AD$3)*($Z349:$AI349-$AJ349:$AS349))))</f>
        <v>0</v>
      </c>
      <c r="K349" s="42" t="n">
        <f aca="false">AO349+MIN(AE349-AO349,MAX(0,'Start Here'!$B$10-SUM($AJ349:$AS349)-SUMPRODUCT(($Z$3:$AI$3&lt;AE$3)*($Z349:$AI349-$AJ349:$AS349))))</f>
        <v>0</v>
      </c>
      <c r="L349" s="42" t="n">
        <f aca="false">AP349+MIN(AF349-AP349,MAX(0,'Start Here'!$B$10-SUM($AJ349:$AS349)-SUMPRODUCT(($Z$3:$AI$3&lt;AF$3)*($Z349:$AI349-$AJ349:$AS349))))</f>
        <v>0</v>
      </c>
      <c r="M349" s="42" t="n">
        <f aca="false">AQ349+MIN(AG349-AQ349,MAX(0,'Start Here'!$B$10-SUM($AJ349:$AS349)-SUMPRODUCT(($Z$3:$AI$3&lt;AG$3)*($Z349:$AI349-$AJ349:$AS349))))</f>
        <v>0</v>
      </c>
      <c r="N349" s="42" t="n">
        <f aca="false">AR349+MIN(AH349-AR349,MAX(0,'Start Here'!$B$10-SUM($AJ349:$AS349)-SUMPRODUCT(($Z$3:$AI$3&lt;AH$3)*($Z349:$AI349-$AJ349:$AS349))))</f>
        <v>0</v>
      </c>
      <c r="O349" s="42" t="n">
        <f aca="false">AS349+MIN(AI349-AS349,MAX(0,'Start Here'!$B$10-SUM($AJ349:$AS349)-SUMPRODUCT(($Z$3:$AI$3&lt;AI$3)*($Z349:$AI349-$AJ349:$AS349))))</f>
        <v>0</v>
      </c>
      <c r="P349" s="42" t="n">
        <f aca="false">ROUND(Z349-F349,2)</f>
        <v>0</v>
      </c>
      <c r="Q349" s="42" t="n">
        <f aca="false">ROUND(AA349-G349,2)</f>
        <v>0</v>
      </c>
      <c r="R349" s="42" t="n">
        <f aca="false">ROUND(AB349-H349,2)</f>
        <v>0</v>
      </c>
      <c r="S349" s="42" t="n">
        <f aca="false">ROUND(AC349-I349,2)</f>
        <v>0</v>
      </c>
      <c r="T349" s="42" t="n">
        <f aca="false">ROUND(AD349-J349,2)</f>
        <v>0</v>
      </c>
      <c r="U349" s="42" t="n">
        <f aca="false">ROUND(AE349-K349,2)</f>
        <v>0</v>
      </c>
      <c r="V349" s="42" t="n">
        <f aca="false">ROUND(AF349-L349,2)</f>
        <v>0</v>
      </c>
      <c r="W349" s="42" t="n">
        <f aca="false">ROUND(AG349-M349,2)</f>
        <v>0</v>
      </c>
      <c r="X349" s="42" t="n">
        <f aca="false">ROUND(AH349-N349,2)</f>
        <v>0</v>
      </c>
      <c r="Y349" s="42" t="n">
        <f aca="false">ROUND(AI349-O349,2)</f>
        <v>0</v>
      </c>
      <c r="Z349" s="56" t="n">
        <f aca="false">ROUND(P348*(1+N(Debts!$D$5)/12),2)</f>
        <v>0</v>
      </c>
      <c r="AA349" s="56" t="n">
        <f aca="false">ROUND(Q348*(1+N(Debts!$D$6)/12),2)</f>
        <v>0</v>
      </c>
      <c r="AB349" s="56" t="n">
        <f aca="false">ROUND(R348*(1+N(Debts!$D$7)/12),2)</f>
        <v>0</v>
      </c>
      <c r="AC349" s="56" t="n">
        <f aca="false">ROUND(S348*(1+N(Debts!$D$8)/12),2)</f>
        <v>0</v>
      </c>
      <c r="AD349" s="56" t="n">
        <f aca="false">ROUND(T348*(1+N(Debts!$D$9)/12),2)</f>
        <v>0</v>
      </c>
      <c r="AE349" s="56" t="n">
        <f aca="false">ROUND(U348*(1+N(Debts!$D$10)/12),2)</f>
        <v>0</v>
      </c>
      <c r="AF349" s="56" t="n">
        <f aca="false">ROUND(V348*(1+N(Debts!$D$11)/12),2)</f>
        <v>0</v>
      </c>
      <c r="AG349" s="56" t="n">
        <f aca="false">ROUND(W348*(1+N(Debts!$D$12)/12),2)</f>
        <v>0</v>
      </c>
      <c r="AH349" s="56" t="n">
        <f aca="false">ROUND(X348*(1+N(Debts!$D$13)/12),2)</f>
        <v>0</v>
      </c>
      <c r="AI349" s="56" t="n">
        <f aca="false">ROUND(Y348*(1+N(Debts!$D$14)/12),2)</f>
        <v>0</v>
      </c>
      <c r="AJ349" s="56" t="n">
        <f aca="false">MIN(Z349,MAX(0,N(Debts!$E$5)))</f>
        <v>0</v>
      </c>
      <c r="AK349" s="56" t="n">
        <f aca="false">MIN(AA349,MAX(0,N(Debts!$E$6)))</f>
        <v>0</v>
      </c>
      <c r="AL349" s="56" t="n">
        <f aca="false">MIN(AB349,MAX(0,N(Debts!$E$7)))</f>
        <v>0</v>
      </c>
      <c r="AM349" s="56" t="n">
        <f aca="false">MIN(AC349,MAX(0,N(Debts!$E$8)))</f>
        <v>0</v>
      </c>
      <c r="AN349" s="56" t="n">
        <f aca="false">MIN(AD349,MAX(0,N(Debts!$E$9)))</f>
        <v>0</v>
      </c>
      <c r="AO349" s="56" t="n">
        <f aca="false">MIN(AE349,MAX(0,N(Debts!$E$10)))</f>
        <v>0</v>
      </c>
      <c r="AP349" s="56" t="n">
        <f aca="false">MIN(AF349,MAX(0,N(Debts!$E$11)))</f>
        <v>0</v>
      </c>
      <c r="AQ349" s="56" t="n">
        <f aca="false">MIN(AG349,MAX(0,N(Debts!$E$12)))</f>
        <v>0</v>
      </c>
      <c r="AR349" s="56" t="n">
        <f aca="false">MIN(AH349,MAX(0,N(Debts!$E$13)))</f>
        <v>0</v>
      </c>
      <c r="AS349" s="56" t="n">
        <f aca="false">MIN(AI349,MAX(0,N(Debts!$E$14)))</f>
        <v>0</v>
      </c>
    </row>
    <row r="350" customFormat="false" ht="15" hidden="false" customHeight="false" outlineLevel="0" collapsed="false">
      <c r="A350" s="53" t="n">
        <v>346</v>
      </c>
      <c r="B350" s="54" t="n">
        <f aca="false">EDATE('Start Here'!$B$8,345)</f>
        <v>56827</v>
      </c>
      <c r="C350" s="42" t="n">
        <f aca="false">SUM(F350:O350)</f>
        <v>0</v>
      </c>
      <c r="D350" s="42" t="n">
        <f aca="false">ROUND(SUM($Z350:$AI350)-SUM(P349:Y349),2)</f>
        <v>0</v>
      </c>
      <c r="E350" s="55" t="n">
        <f aca="false">SUM(P350:Y350)</f>
        <v>0</v>
      </c>
      <c r="F350" s="42" t="n">
        <f aca="false">AJ350+MIN(Z350-AJ350,MAX(0,'Start Here'!$B$10-SUM($AJ350:$AS350)-SUMPRODUCT(($Z$3:$AI$3&lt;Z$3)*($Z350:$AI350-$AJ350:$AS350))))</f>
        <v>0</v>
      </c>
      <c r="G350" s="42" t="n">
        <f aca="false">AK350+MIN(AA350-AK350,MAX(0,'Start Here'!$B$10-SUM($AJ350:$AS350)-SUMPRODUCT(($Z$3:$AI$3&lt;AA$3)*($Z350:$AI350-$AJ350:$AS350))))</f>
        <v>0</v>
      </c>
      <c r="H350" s="42" t="n">
        <f aca="false">AL350+MIN(AB350-AL350,MAX(0,'Start Here'!$B$10-SUM($AJ350:$AS350)-SUMPRODUCT(($Z$3:$AI$3&lt;AB$3)*($Z350:$AI350-$AJ350:$AS350))))</f>
        <v>0</v>
      </c>
      <c r="I350" s="42" t="n">
        <f aca="false">AM350+MIN(AC350-AM350,MAX(0,'Start Here'!$B$10-SUM($AJ350:$AS350)-SUMPRODUCT(($Z$3:$AI$3&lt;AC$3)*($Z350:$AI350-$AJ350:$AS350))))</f>
        <v>0</v>
      </c>
      <c r="J350" s="42" t="n">
        <f aca="false">AN350+MIN(AD350-AN350,MAX(0,'Start Here'!$B$10-SUM($AJ350:$AS350)-SUMPRODUCT(($Z$3:$AI$3&lt;AD$3)*($Z350:$AI350-$AJ350:$AS350))))</f>
        <v>0</v>
      </c>
      <c r="K350" s="42" t="n">
        <f aca="false">AO350+MIN(AE350-AO350,MAX(0,'Start Here'!$B$10-SUM($AJ350:$AS350)-SUMPRODUCT(($Z$3:$AI$3&lt;AE$3)*($Z350:$AI350-$AJ350:$AS350))))</f>
        <v>0</v>
      </c>
      <c r="L350" s="42" t="n">
        <f aca="false">AP350+MIN(AF350-AP350,MAX(0,'Start Here'!$B$10-SUM($AJ350:$AS350)-SUMPRODUCT(($Z$3:$AI$3&lt;AF$3)*($Z350:$AI350-$AJ350:$AS350))))</f>
        <v>0</v>
      </c>
      <c r="M350" s="42" t="n">
        <f aca="false">AQ350+MIN(AG350-AQ350,MAX(0,'Start Here'!$B$10-SUM($AJ350:$AS350)-SUMPRODUCT(($Z$3:$AI$3&lt;AG$3)*($Z350:$AI350-$AJ350:$AS350))))</f>
        <v>0</v>
      </c>
      <c r="N350" s="42" t="n">
        <f aca="false">AR350+MIN(AH350-AR350,MAX(0,'Start Here'!$B$10-SUM($AJ350:$AS350)-SUMPRODUCT(($Z$3:$AI$3&lt;AH$3)*($Z350:$AI350-$AJ350:$AS350))))</f>
        <v>0</v>
      </c>
      <c r="O350" s="42" t="n">
        <f aca="false">AS350+MIN(AI350-AS350,MAX(0,'Start Here'!$B$10-SUM($AJ350:$AS350)-SUMPRODUCT(($Z$3:$AI$3&lt;AI$3)*($Z350:$AI350-$AJ350:$AS350))))</f>
        <v>0</v>
      </c>
      <c r="P350" s="42" t="n">
        <f aca="false">ROUND(Z350-F350,2)</f>
        <v>0</v>
      </c>
      <c r="Q350" s="42" t="n">
        <f aca="false">ROUND(AA350-G350,2)</f>
        <v>0</v>
      </c>
      <c r="R350" s="42" t="n">
        <f aca="false">ROUND(AB350-H350,2)</f>
        <v>0</v>
      </c>
      <c r="S350" s="42" t="n">
        <f aca="false">ROUND(AC350-I350,2)</f>
        <v>0</v>
      </c>
      <c r="T350" s="42" t="n">
        <f aca="false">ROUND(AD350-J350,2)</f>
        <v>0</v>
      </c>
      <c r="U350" s="42" t="n">
        <f aca="false">ROUND(AE350-K350,2)</f>
        <v>0</v>
      </c>
      <c r="V350" s="42" t="n">
        <f aca="false">ROUND(AF350-L350,2)</f>
        <v>0</v>
      </c>
      <c r="W350" s="42" t="n">
        <f aca="false">ROUND(AG350-M350,2)</f>
        <v>0</v>
      </c>
      <c r="X350" s="42" t="n">
        <f aca="false">ROUND(AH350-N350,2)</f>
        <v>0</v>
      </c>
      <c r="Y350" s="42" t="n">
        <f aca="false">ROUND(AI350-O350,2)</f>
        <v>0</v>
      </c>
      <c r="Z350" s="56" t="n">
        <f aca="false">ROUND(P349*(1+N(Debts!$D$5)/12),2)</f>
        <v>0</v>
      </c>
      <c r="AA350" s="56" t="n">
        <f aca="false">ROUND(Q349*(1+N(Debts!$D$6)/12),2)</f>
        <v>0</v>
      </c>
      <c r="AB350" s="56" t="n">
        <f aca="false">ROUND(R349*(1+N(Debts!$D$7)/12),2)</f>
        <v>0</v>
      </c>
      <c r="AC350" s="56" t="n">
        <f aca="false">ROUND(S349*(1+N(Debts!$D$8)/12),2)</f>
        <v>0</v>
      </c>
      <c r="AD350" s="56" t="n">
        <f aca="false">ROUND(T349*(1+N(Debts!$D$9)/12),2)</f>
        <v>0</v>
      </c>
      <c r="AE350" s="56" t="n">
        <f aca="false">ROUND(U349*(1+N(Debts!$D$10)/12),2)</f>
        <v>0</v>
      </c>
      <c r="AF350" s="56" t="n">
        <f aca="false">ROUND(V349*(1+N(Debts!$D$11)/12),2)</f>
        <v>0</v>
      </c>
      <c r="AG350" s="56" t="n">
        <f aca="false">ROUND(W349*(1+N(Debts!$D$12)/12),2)</f>
        <v>0</v>
      </c>
      <c r="AH350" s="56" t="n">
        <f aca="false">ROUND(X349*(1+N(Debts!$D$13)/12),2)</f>
        <v>0</v>
      </c>
      <c r="AI350" s="56" t="n">
        <f aca="false">ROUND(Y349*(1+N(Debts!$D$14)/12),2)</f>
        <v>0</v>
      </c>
      <c r="AJ350" s="56" t="n">
        <f aca="false">MIN(Z350,MAX(0,N(Debts!$E$5)))</f>
        <v>0</v>
      </c>
      <c r="AK350" s="56" t="n">
        <f aca="false">MIN(AA350,MAX(0,N(Debts!$E$6)))</f>
        <v>0</v>
      </c>
      <c r="AL350" s="56" t="n">
        <f aca="false">MIN(AB350,MAX(0,N(Debts!$E$7)))</f>
        <v>0</v>
      </c>
      <c r="AM350" s="56" t="n">
        <f aca="false">MIN(AC350,MAX(0,N(Debts!$E$8)))</f>
        <v>0</v>
      </c>
      <c r="AN350" s="56" t="n">
        <f aca="false">MIN(AD350,MAX(0,N(Debts!$E$9)))</f>
        <v>0</v>
      </c>
      <c r="AO350" s="56" t="n">
        <f aca="false">MIN(AE350,MAX(0,N(Debts!$E$10)))</f>
        <v>0</v>
      </c>
      <c r="AP350" s="56" t="n">
        <f aca="false">MIN(AF350,MAX(0,N(Debts!$E$11)))</f>
        <v>0</v>
      </c>
      <c r="AQ350" s="56" t="n">
        <f aca="false">MIN(AG350,MAX(0,N(Debts!$E$12)))</f>
        <v>0</v>
      </c>
      <c r="AR350" s="56" t="n">
        <f aca="false">MIN(AH350,MAX(0,N(Debts!$E$13)))</f>
        <v>0</v>
      </c>
      <c r="AS350" s="56" t="n">
        <f aca="false">MIN(AI350,MAX(0,N(Debts!$E$14)))</f>
        <v>0</v>
      </c>
    </row>
    <row r="351" customFormat="false" ht="15" hidden="false" customHeight="false" outlineLevel="0" collapsed="false">
      <c r="A351" s="53" t="n">
        <v>347</v>
      </c>
      <c r="B351" s="54" t="n">
        <f aca="false">EDATE('Start Here'!$B$8,346)</f>
        <v>56858</v>
      </c>
      <c r="C351" s="42" t="n">
        <f aca="false">SUM(F351:O351)</f>
        <v>0</v>
      </c>
      <c r="D351" s="42" t="n">
        <f aca="false">ROUND(SUM($Z351:$AI351)-SUM(P350:Y350),2)</f>
        <v>0</v>
      </c>
      <c r="E351" s="55" t="n">
        <f aca="false">SUM(P351:Y351)</f>
        <v>0</v>
      </c>
      <c r="F351" s="42" t="n">
        <f aca="false">AJ351+MIN(Z351-AJ351,MAX(0,'Start Here'!$B$10-SUM($AJ351:$AS351)-SUMPRODUCT(($Z$3:$AI$3&lt;Z$3)*($Z351:$AI351-$AJ351:$AS351))))</f>
        <v>0</v>
      </c>
      <c r="G351" s="42" t="n">
        <f aca="false">AK351+MIN(AA351-AK351,MAX(0,'Start Here'!$B$10-SUM($AJ351:$AS351)-SUMPRODUCT(($Z$3:$AI$3&lt;AA$3)*($Z351:$AI351-$AJ351:$AS351))))</f>
        <v>0</v>
      </c>
      <c r="H351" s="42" t="n">
        <f aca="false">AL351+MIN(AB351-AL351,MAX(0,'Start Here'!$B$10-SUM($AJ351:$AS351)-SUMPRODUCT(($Z$3:$AI$3&lt;AB$3)*($Z351:$AI351-$AJ351:$AS351))))</f>
        <v>0</v>
      </c>
      <c r="I351" s="42" t="n">
        <f aca="false">AM351+MIN(AC351-AM351,MAX(0,'Start Here'!$B$10-SUM($AJ351:$AS351)-SUMPRODUCT(($Z$3:$AI$3&lt;AC$3)*($Z351:$AI351-$AJ351:$AS351))))</f>
        <v>0</v>
      </c>
      <c r="J351" s="42" t="n">
        <f aca="false">AN351+MIN(AD351-AN351,MAX(0,'Start Here'!$B$10-SUM($AJ351:$AS351)-SUMPRODUCT(($Z$3:$AI$3&lt;AD$3)*($Z351:$AI351-$AJ351:$AS351))))</f>
        <v>0</v>
      </c>
      <c r="K351" s="42" t="n">
        <f aca="false">AO351+MIN(AE351-AO351,MAX(0,'Start Here'!$B$10-SUM($AJ351:$AS351)-SUMPRODUCT(($Z$3:$AI$3&lt;AE$3)*($Z351:$AI351-$AJ351:$AS351))))</f>
        <v>0</v>
      </c>
      <c r="L351" s="42" t="n">
        <f aca="false">AP351+MIN(AF351-AP351,MAX(0,'Start Here'!$B$10-SUM($AJ351:$AS351)-SUMPRODUCT(($Z$3:$AI$3&lt;AF$3)*($Z351:$AI351-$AJ351:$AS351))))</f>
        <v>0</v>
      </c>
      <c r="M351" s="42" t="n">
        <f aca="false">AQ351+MIN(AG351-AQ351,MAX(0,'Start Here'!$B$10-SUM($AJ351:$AS351)-SUMPRODUCT(($Z$3:$AI$3&lt;AG$3)*($Z351:$AI351-$AJ351:$AS351))))</f>
        <v>0</v>
      </c>
      <c r="N351" s="42" t="n">
        <f aca="false">AR351+MIN(AH351-AR351,MAX(0,'Start Here'!$B$10-SUM($AJ351:$AS351)-SUMPRODUCT(($Z$3:$AI$3&lt;AH$3)*($Z351:$AI351-$AJ351:$AS351))))</f>
        <v>0</v>
      </c>
      <c r="O351" s="42" t="n">
        <f aca="false">AS351+MIN(AI351-AS351,MAX(0,'Start Here'!$B$10-SUM($AJ351:$AS351)-SUMPRODUCT(($Z$3:$AI$3&lt;AI$3)*($Z351:$AI351-$AJ351:$AS351))))</f>
        <v>0</v>
      </c>
      <c r="P351" s="42" t="n">
        <f aca="false">ROUND(Z351-F351,2)</f>
        <v>0</v>
      </c>
      <c r="Q351" s="42" t="n">
        <f aca="false">ROUND(AA351-G351,2)</f>
        <v>0</v>
      </c>
      <c r="R351" s="42" t="n">
        <f aca="false">ROUND(AB351-H351,2)</f>
        <v>0</v>
      </c>
      <c r="S351" s="42" t="n">
        <f aca="false">ROUND(AC351-I351,2)</f>
        <v>0</v>
      </c>
      <c r="T351" s="42" t="n">
        <f aca="false">ROUND(AD351-J351,2)</f>
        <v>0</v>
      </c>
      <c r="U351" s="42" t="n">
        <f aca="false">ROUND(AE351-K351,2)</f>
        <v>0</v>
      </c>
      <c r="V351" s="42" t="n">
        <f aca="false">ROUND(AF351-L351,2)</f>
        <v>0</v>
      </c>
      <c r="W351" s="42" t="n">
        <f aca="false">ROUND(AG351-M351,2)</f>
        <v>0</v>
      </c>
      <c r="X351" s="42" t="n">
        <f aca="false">ROUND(AH351-N351,2)</f>
        <v>0</v>
      </c>
      <c r="Y351" s="42" t="n">
        <f aca="false">ROUND(AI351-O351,2)</f>
        <v>0</v>
      </c>
      <c r="Z351" s="56" t="n">
        <f aca="false">ROUND(P350*(1+N(Debts!$D$5)/12),2)</f>
        <v>0</v>
      </c>
      <c r="AA351" s="56" t="n">
        <f aca="false">ROUND(Q350*(1+N(Debts!$D$6)/12),2)</f>
        <v>0</v>
      </c>
      <c r="AB351" s="56" t="n">
        <f aca="false">ROUND(R350*(1+N(Debts!$D$7)/12),2)</f>
        <v>0</v>
      </c>
      <c r="AC351" s="56" t="n">
        <f aca="false">ROUND(S350*(1+N(Debts!$D$8)/12),2)</f>
        <v>0</v>
      </c>
      <c r="AD351" s="56" t="n">
        <f aca="false">ROUND(T350*(1+N(Debts!$D$9)/12),2)</f>
        <v>0</v>
      </c>
      <c r="AE351" s="56" t="n">
        <f aca="false">ROUND(U350*(1+N(Debts!$D$10)/12),2)</f>
        <v>0</v>
      </c>
      <c r="AF351" s="56" t="n">
        <f aca="false">ROUND(V350*(1+N(Debts!$D$11)/12),2)</f>
        <v>0</v>
      </c>
      <c r="AG351" s="56" t="n">
        <f aca="false">ROUND(W350*(1+N(Debts!$D$12)/12),2)</f>
        <v>0</v>
      </c>
      <c r="AH351" s="56" t="n">
        <f aca="false">ROUND(X350*(1+N(Debts!$D$13)/12),2)</f>
        <v>0</v>
      </c>
      <c r="AI351" s="56" t="n">
        <f aca="false">ROUND(Y350*(1+N(Debts!$D$14)/12),2)</f>
        <v>0</v>
      </c>
      <c r="AJ351" s="56" t="n">
        <f aca="false">MIN(Z351,MAX(0,N(Debts!$E$5)))</f>
        <v>0</v>
      </c>
      <c r="AK351" s="56" t="n">
        <f aca="false">MIN(AA351,MAX(0,N(Debts!$E$6)))</f>
        <v>0</v>
      </c>
      <c r="AL351" s="56" t="n">
        <f aca="false">MIN(AB351,MAX(0,N(Debts!$E$7)))</f>
        <v>0</v>
      </c>
      <c r="AM351" s="56" t="n">
        <f aca="false">MIN(AC351,MAX(0,N(Debts!$E$8)))</f>
        <v>0</v>
      </c>
      <c r="AN351" s="56" t="n">
        <f aca="false">MIN(AD351,MAX(0,N(Debts!$E$9)))</f>
        <v>0</v>
      </c>
      <c r="AO351" s="56" t="n">
        <f aca="false">MIN(AE351,MAX(0,N(Debts!$E$10)))</f>
        <v>0</v>
      </c>
      <c r="AP351" s="56" t="n">
        <f aca="false">MIN(AF351,MAX(0,N(Debts!$E$11)))</f>
        <v>0</v>
      </c>
      <c r="AQ351" s="56" t="n">
        <f aca="false">MIN(AG351,MAX(0,N(Debts!$E$12)))</f>
        <v>0</v>
      </c>
      <c r="AR351" s="56" t="n">
        <f aca="false">MIN(AH351,MAX(0,N(Debts!$E$13)))</f>
        <v>0</v>
      </c>
      <c r="AS351" s="56" t="n">
        <f aca="false">MIN(AI351,MAX(0,N(Debts!$E$14)))</f>
        <v>0</v>
      </c>
    </row>
    <row r="352" customFormat="false" ht="15" hidden="false" customHeight="false" outlineLevel="0" collapsed="false">
      <c r="A352" s="53" t="n">
        <v>348</v>
      </c>
      <c r="B352" s="54" t="n">
        <f aca="false">EDATE('Start Here'!$B$8,347)</f>
        <v>56888</v>
      </c>
      <c r="C352" s="42" t="n">
        <f aca="false">SUM(F352:O352)</f>
        <v>0</v>
      </c>
      <c r="D352" s="42" t="n">
        <f aca="false">ROUND(SUM($Z352:$AI352)-SUM(P351:Y351),2)</f>
        <v>0</v>
      </c>
      <c r="E352" s="55" t="n">
        <f aca="false">SUM(P352:Y352)</f>
        <v>0</v>
      </c>
      <c r="F352" s="42" t="n">
        <f aca="false">AJ352+MIN(Z352-AJ352,MAX(0,'Start Here'!$B$10-SUM($AJ352:$AS352)-SUMPRODUCT(($Z$3:$AI$3&lt;Z$3)*($Z352:$AI352-$AJ352:$AS352))))</f>
        <v>0</v>
      </c>
      <c r="G352" s="42" t="n">
        <f aca="false">AK352+MIN(AA352-AK352,MAX(0,'Start Here'!$B$10-SUM($AJ352:$AS352)-SUMPRODUCT(($Z$3:$AI$3&lt;AA$3)*($Z352:$AI352-$AJ352:$AS352))))</f>
        <v>0</v>
      </c>
      <c r="H352" s="42" t="n">
        <f aca="false">AL352+MIN(AB352-AL352,MAX(0,'Start Here'!$B$10-SUM($AJ352:$AS352)-SUMPRODUCT(($Z$3:$AI$3&lt;AB$3)*($Z352:$AI352-$AJ352:$AS352))))</f>
        <v>0</v>
      </c>
      <c r="I352" s="42" t="n">
        <f aca="false">AM352+MIN(AC352-AM352,MAX(0,'Start Here'!$B$10-SUM($AJ352:$AS352)-SUMPRODUCT(($Z$3:$AI$3&lt;AC$3)*($Z352:$AI352-$AJ352:$AS352))))</f>
        <v>0</v>
      </c>
      <c r="J352" s="42" t="n">
        <f aca="false">AN352+MIN(AD352-AN352,MAX(0,'Start Here'!$B$10-SUM($AJ352:$AS352)-SUMPRODUCT(($Z$3:$AI$3&lt;AD$3)*($Z352:$AI352-$AJ352:$AS352))))</f>
        <v>0</v>
      </c>
      <c r="K352" s="42" t="n">
        <f aca="false">AO352+MIN(AE352-AO352,MAX(0,'Start Here'!$B$10-SUM($AJ352:$AS352)-SUMPRODUCT(($Z$3:$AI$3&lt;AE$3)*($Z352:$AI352-$AJ352:$AS352))))</f>
        <v>0</v>
      </c>
      <c r="L352" s="42" t="n">
        <f aca="false">AP352+MIN(AF352-AP352,MAX(0,'Start Here'!$B$10-SUM($AJ352:$AS352)-SUMPRODUCT(($Z$3:$AI$3&lt;AF$3)*($Z352:$AI352-$AJ352:$AS352))))</f>
        <v>0</v>
      </c>
      <c r="M352" s="42" t="n">
        <f aca="false">AQ352+MIN(AG352-AQ352,MAX(0,'Start Here'!$B$10-SUM($AJ352:$AS352)-SUMPRODUCT(($Z$3:$AI$3&lt;AG$3)*($Z352:$AI352-$AJ352:$AS352))))</f>
        <v>0</v>
      </c>
      <c r="N352" s="42" t="n">
        <f aca="false">AR352+MIN(AH352-AR352,MAX(0,'Start Here'!$B$10-SUM($AJ352:$AS352)-SUMPRODUCT(($Z$3:$AI$3&lt;AH$3)*($Z352:$AI352-$AJ352:$AS352))))</f>
        <v>0</v>
      </c>
      <c r="O352" s="42" t="n">
        <f aca="false">AS352+MIN(AI352-AS352,MAX(0,'Start Here'!$B$10-SUM($AJ352:$AS352)-SUMPRODUCT(($Z$3:$AI$3&lt;AI$3)*($Z352:$AI352-$AJ352:$AS352))))</f>
        <v>0</v>
      </c>
      <c r="P352" s="42" t="n">
        <f aca="false">ROUND(Z352-F352,2)</f>
        <v>0</v>
      </c>
      <c r="Q352" s="42" t="n">
        <f aca="false">ROUND(AA352-G352,2)</f>
        <v>0</v>
      </c>
      <c r="R352" s="42" t="n">
        <f aca="false">ROUND(AB352-H352,2)</f>
        <v>0</v>
      </c>
      <c r="S352" s="42" t="n">
        <f aca="false">ROUND(AC352-I352,2)</f>
        <v>0</v>
      </c>
      <c r="T352" s="42" t="n">
        <f aca="false">ROUND(AD352-J352,2)</f>
        <v>0</v>
      </c>
      <c r="U352" s="42" t="n">
        <f aca="false">ROUND(AE352-K352,2)</f>
        <v>0</v>
      </c>
      <c r="V352" s="42" t="n">
        <f aca="false">ROUND(AF352-L352,2)</f>
        <v>0</v>
      </c>
      <c r="W352" s="42" t="n">
        <f aca="false">ROUND(AG352-M352,2)</f>
        <v>0</v>
      </c>
      <c r="X352" s="42" t="n">
        <f aca="false">ROUND(AH352-N352,2)</f>
        <v>0</v>
      </c>
      <c r="Y352" s="42" t="n">
        <f aca="false">ROUND(AI352-O352,2)</f>
        <v>0</v>
      </c>
      <c r="Z352" s="56" t="n">
        <f aca="false">ROUND(P351*(1+N(Debts!$D$5)/12),2)</f>
        <v>0</v>
      </c>
      <c r="AA352" s="56" t="n">
        <f aca="false">ROUND(Q351*(1+N(Debts!$D$6)/12),2)</f>
        <v>0</v>
      </c>
      <c r="AB352" s="56" t="n">
        <f aca="false">ROUND(R351*(1+N(Debts!$D$7)/12),2)</f>
        <v>0</v>
      </c>
      <c r="AC352" s="56" t="n">
        <f aca="false">ROUND(S351*(1+N(Debts!$D$8)/12),2)</f>
        <v>0</v>
      </c>
      <c r="AD352" s="56" t="n">
        <f aca="false">ROUND(T351*(1+N(Debts!$D$9)/12),2)</f>
        <v>0</v>
      </c>
      <c r="AE352" s="56" t="n">
        <f aca="false">ROUND(U351*(1+N(Debts!$D$10)/12),2)</f>
        <v>0</v>
      </c>
      <c r="AF352" s="56" t="n">
        <f aca="false">ROUND(V351*(1+N(Debts!$D$11)/12),2)</f>
        <v>0</v>
      </c>
      <c r="AG352" s="56" t="n">
        <f aca="false">ROUND(W351*(1+N(Debts!$D$12)/12),2)</f>
        <v>0</v>
      </c>
      <c r="AH352" s="56" t="n">
        <f aca="false">ROUND(X351*(1+N(Debts!$D$13)/12),2)</f>
        <v>0</v>
      </c>
      <c r="AI352" s="56" t="n">
        <f aca="false">ROUND(Y351*(1+N(Debts!$D$14)/12),2)</f>
        <v>0</v>
      </c>
      <c r="AJ352" s="56" t="n">
        <f aca="false">MIN(Z352,MAX(0,N(Debts!$E$5)))</f>
        <v>0</v>
      </c>
      <c r="AK352" s="56" t="n">
        <f aca="false">MIN(AA352,MAX(0,N(Debts!$E$6)))</f>
        <v>0</v>
      </c>
      <c r="AL352" s="56" t="n">
        <f aca="false">MIN(AB352,MAX(0,N(Debts!$E$7)))</f>
        <v>0</v>
      </c>
      <c r="AM352" s="56" t="n">
        <f aca="false">MIN(AC352,MAX(0,N(Debts!$E$8)))</f>
        <v>0</v>
      </c>
      <c r="AN352" s="56" t="n">
        <f aca="false">MIN(AD352,MAX(0,N(Debts!$E$9)))</f>
        <v>0</v>
      </c>
      <c r="AO352" s="56" t="n">
        <f aca="false">MIN(AE352,MAX(0,N(Debts!$E$10)))</f>
        <v>0</v>
      </c>
      <c r="AP352" s="56" t="n">
        <f aca="false">MIN(AF352,MAX(0,N(Debts!$E$11)))</f>
        <v>0</v>
      </c>
      <c r="AQ352" s="56" t="n">
        <f aca="false">MIN(AG352,MAX(0,N(Debts!$E$12)))</f>
        <v>0</v>
      </c>
      <c r="AR352" s="56" t="n">
        <f aca="false">MIN(AH352,MAX(0,N(Debts!$E$13)))</f>
        <v>0</v>
      </c>
      <c r="AS352" s="56" t="n">
        <f aca="false">MIN(AI352,MAX(0,N(Debts!$E$14)))</f>
        <v>0</v>
      </c>
    </row>
    <row r="353" customFormat="false" ht="15" hidden="false" customHeight="false" outlineLevel="0" collapsed="false">
      <c r="A353" s="53" t="n">
        <v>349</v>
      </c>
      <c r="B353" s="54" t="n">
        <f aca="false">EDATE('Start Here'!$B$8,348)</f>
        <v>56919</v>
      </c>
      <c r="C353" s="42" t="n">
        <f aca="false">SUM(F353:O353)</f>
        <v>0</v>
      </c>
      <c r="D353" s="42" t="n">
        <f aca="false">ROUND(SUM($Z353:$AI353)-SUM(P352:Y352),2)</f>
        <v>0</v>
      </c>
      <c r="E353" s="55" t="n">
        <f aca="false">SUM(P353:Y353)</f>
        <v>0</v>
      </c>
      <c r="F353" s="42" t="n">
        <f aca="false">AJ353+MIN(Z353-AJ353,MAX(0,'Start Here'!$B$10-SUM($AJ353:$AS353)-SUMPRODUCT(($Z$3:$AI$3&lt;Z$3)*($Z353:$AI353-$AJ353:$AS353))))</f>
        <v>0</v>
      </c>
      <c r="G353" s="42" t="n">
        <f aca="false">AK353+MIN(AA353-AK353,MAX(0,'Start Here'!$B$10-SUM($AJ353:$AS353)-SUMPRODUCT(($Z$3:$AI$3&lt;AA$3)*($Z353:$AI353-$AJ353:$AS353))))</f>
        <v>0</v>
      </c>
      <c r="H353" s="42" t="n">
        <f aca="false">AL353+MIN(AB353-AL353,MAX(0,'Start Here'!$B$10-SUM($AJ353:$AS353)-SUMPRODUCT(($Z$3:$AI$3&lt;AB$3)*($Z353:$AI353-$AJ353:$AS353))))</f>
        <v>0</v>
      </c>
      <c r="I353" s="42" t="n">
        <f aca="false">AM353+MIN(AC353-AM353,MAX(0,'Start Here'!$B$10-SUM($AJ353:$AS353)-SUMPRODUCT(($Z$3:$AI$3&lt;AC$3)*($Z353:$AI353-$AJ353:$AS353))))</f>
        <v>0</v>
      </c>
      <c r="J353" s="42" t="n">
        <f aca="false">AN353+MIN(AD353-AN353,MAX(0,'Start Here'!$B$10-SUM($AJ353:$AS353)-SUMPRODUCT(($Z$3:$AI$3&lt;AD$3)*($Z353:$AI353-$AJ353:$AS353))))</f>
        <v>0</v>
      </c>
      <c r="K353" s="42" t="n">
        <f aca="false">AO353+MIN(AE353-AO353,MAX(0,'Start Here'!$B$10-SUM($AJ353:$AS353)-SUMPRODUCT(($Z$3:$AI$3&lt;AE$3)*($Z353:$AI353-$AJ353:$AS353))))</f>
        <v>0</v>
      </c>
      <c r="L353" s="42" t="n">
        <f aca="false">AP353+MIN(AF353-AP353,MAX(0,'Start Here'!$B$10-SUM($AJ353:$AS353)-SUMPRODUCT(($Z$3:$AI$3&lt;AF$3)*($Z353:$AI353-$AJ353:$AS353))))</f>
        <v>0</v>
      </c>
      <c r="M353" s="42" t="n">
        <f aca="false">AQ353+MIN(AG353-AQ353,MAX(0,'Start Here'!$B$10-SUM($AJ353:$AS353)-SUMPRODUCT(($Z$3:$AI$3&lt;AG$3)*($Z353:$AI353-$AJ353:$AS353))))</f>
        <v>0</v>
      </c>
      <c r="N353" s="42" t="n">
        <f aca="false">AR353+MIN(AH353-AR353,MAX(0,'Start Here'!$B$10-SUM($AJ353:$AS353)-SUMPRODUCT(($Z$3:$AI$3&lt;AH$3)*($Z353:$AI353-$AJ353:$AS353))))</f>
        <v>0</v>
      </c>
      <c r="O353" s="42" t="n">
        <f aca="false">AS353+MIN(AI353-AS353,MAX(0,'Start Here'!$B$10-SUM($AJ353:$AS353)-SUMPRODUCT(($Z$3:$AI$3&lt;AI$3)*($Z353:$AI353-$AJ353:$AS353))))</f>
        <v>0</v>
      </c>
      <c r="P353" s="42" t="n">
        <f aca="false">ROUND(Z353-F353,2)</f>
        <v>0</v>
      </c>
      <c r="Q353" s="42" t="n">
        <f aca="false">ROUND(AA353-G353,2)</f>
        <v>0</v>
      </c>
      <c r="R353" s="42" t="n">
        <f aca="false">ROUND(AB353-H353,2)</f>
        <v>0</v>
      </c>
      <c r="S353" s="42" t="n">
        <f aca="false">ROUND(AC353-I353,2)</f>
        <v>0</v>
      </c>
      <c r="T353" s="42" t="n">
        <f aca="false">ROUND(AD353-J353,2)</f>
        <v>0</v>
      </c>
      <c r="U353" s="42" t="n">
        <f aca="false">ROUND(AE353-K353,2)</f>
        <v>0</v>
      </c>
      <c r="V353" s="42" t="n">
        <f aca="false">ROUND(AF353-L353,2)</f>
        <v>0</v>
      </c>
      <c r="W353" s="42" t="n">
        <f aca="false">ROUND(AG353-M353,2)</f>
        <v>0</v>
      </c>
      <c r="X353" s="42" t="n">
        <f aca="false">ROUND(AH353-N353,2)</f>
        <v>0</v>
      </c>
      <c r="Y353" s="42" t="n">
        <f aca="false">ROUND(AI353-O353,2)</f>
        <v>0</v>
      </c>
      <c r="Z353" s="56" t="n">
        <f aca="false">ROUND(P352*(1+N(Debts!$D$5)/12),2)</f>
        <v>0</v>
      </c>
      <c r="AA353" s="56" t="n">
        <f aca="false">ROUND(Q352*(1+N(Debts!$D$6)/12),2)</f>
        <v>0</v>
      </c>
      <c r="AB353" s="56" t="n">
        <f aca="false">ROUND(R352*(1+N(Debts!$D$7)/12),2)</f>
        <v>0</v>
      </c>
      <c r="AC353" s="56" t="n">
        <f aca="false">ROUND(S352*(1+N(Debts!$D$8)/12),2)</f>
        <v>0</v>
      </c>
      <c r="AD353" s="56" t="n">
        <f aca="false">ROUND(T352*(1+N(Debts!$D$9)/12),2)</f>
        <v>0</v>
      </c>
      <c r="AE353" s="56" t="n">
        <f aca="false">ROUND(U352*(1+N(Debts!$D$10)/12),2)</f>
        <v>0</v>
      </c>
      <c r="AF353" s="56" t="n">
        <f aca="false">ROUND(V352*(1+N(Debts!$D$11)/12),2)</f>
        <v>0</v>
      </c>
      <c r="AG353" s="56" t="n">
        <f aca="false">ROUND(W352*(1+N(Debts!$D$12)/12),2)</f>
        <v>0</v>
      </c>
      <c r="AH353" s="56" t="n">
        <f aca="false">ROUND(X352*(1+N(Debts!$D$13)/12),2)</f>
        <v>0</v>
      </c>
      <c r="AI353" s="56" t="n">
        <f aca="false">ROUND(Y352*(1+N(Debts!$D$14)/12),2)</f>
        <v>0</v>
      </c>
      <c r="AJ353" s="56" t="n">
        <f aca="false">MIN(Z353,MAX(0,N(Debts!$E$5)))</f>
        <v>0</v>
      </c>
      <c r="AK353" s="56" t="n">
        <f aca="false">MIN(AA353,MAX(0,N(Debts!$E$6)))</f>
        <v>0</v>
      </c>
      <c r="AL353" s="56" t="n">
        <f aca="false">MIN(AB353,MAX(0,N(Debts!$E$7)))</f>
        <v>0</v>
      </c>
      <c r="AM353" s="56" t="n">
        <f aca="false">MIN(AC353,MAX(0,N(Debts!$E$8)))</f>
        <v>0</v>
      </c>
      <c r="AN353" s="56" t="n">
        <f aca="false">MIN(AD353,MAX(0,N(Debts!$E$9)))</f>
        <v>0</v>
      </c>
      <c r="AO353" s="56" t="n">
        <f aca="false">MIN(AE353,MAX(0,N(Debts!$E$10)))</f>
        <v>0</v>
      </c>
      <c r="AP353" s="56" t="n">
        <f aca="false">MIN(AF353,MAX(0,N(Debts!$E$11)))</f>
        <v>0</v>
      </c>
      <c r="AQ353" s="56" t="n">
        <f aca="false">MIN(AG353,MAX(0,N(Debts!$E$12)))</f>
        <v>0</v>
      </c>
      <c r="AR353" s="56" t="n">
        <f aca="false">MIN(AH353,MAX(0,N(Debts!$E$13)))</f>
        <v>0</v>
      </c>
      <c r="AS353" s="56" t="n">
        <f aca="false">MIN(AI353,MAX(0,N(Debts!$E$14)))</f>
        <v>0</v>
      </c>
    </row>
    <row r="354" customFormat="false" ht="15" hidden="false" customHeight="false" outlineLevel="0" collapsed="false">
      <c r="A354" s="53" t="n">
        <v>350</v>
      </c>
      <c r="B354" s="54" t="n">
        <f aca="false">EDATE('Start Here'!$B$8,349)</f>
        <v>56949</v>
      </c>
      <c r="C354" s="42" t="n">
        <f aca="false">SUM(F354:O354)</f>
        <v>0</v>
      </c>
      <c r="D354" s="42" t="n">
        <f aca="false">ROUND(SUM($Z354:$AI354)-SUM(P353:Y353),2)</f>
        <v>0</v>
      </c>
      <c r="E354" s="55" t="n">
        <f aca="false">SUM(P354:Y354)</f>
        <v>0</v>
      </c>
      <c r="F354" s="42" t="n">
        <f aca="false">AJ354+MIN(Z354-AJ354,MAX(0,'Start Here'!$B$10-SUM($AJ354:$AS354)-SUMPRODUCT(($Z$3:$AI$3&lt;Z$3)*($Z354:$AI354-$AJ354:$AS354))))</f>
        <v>0</v>
      </c>
      <c r="G354" s="42" t="n">
        <f aca="false">AK354+MIN(AA354-AK354,MAX(0,'Start Here'!$B$10-SUM($AJ354:$AS354)-SUMPRODUCT(($Z$3:$AI$3&lt;AA$3)*($Z354:$AI354-$AJ354:$AS354))))</f>
        <v>0</v>
      </c>
      <c r="H354" s="42" t="n">
        <f aca="false">AL354+MIN(AB354-AL354,MAX(0,'Start Here'!$B$10-SUM($AJ354:$AS354)-SUMPRODUCT(($Z$3:$AI$3&lt;AB$3)*($Z354:$AI354-$AJ354:$AS354))))</f>
        <v>0</v>
      </c>
      <c r="I354" s="42" t="n">
        <f aca="false">AM354+MIN(AC354-AM354,MAX(0,'Start Here'!$B$10-SUM($AJ354:$AS354)-SUMPRODUCT(($Z$3:$AI$3&lt;AC$3)*($Z354:$AI354-$AJ354:$AS354))))</f>
        <v>0</v>
      </c>
      <c r="J354" s="42" t="n">
        <f aca="false">AN354+MIN(AD354-AN354,MAX(0,'Start Here'!$B$10-SUM($AJ354:$AS354)-SUMPRODUCT(($Z$3:$AI$3&lt;AD$3)*($Z354:$AI354-$AJ354:$AS354))))</f>
        <v>0</v>
      </c>
      <c r="K354" s="42" t="n">
        <f aca="false">AO354+MIN(AE354-AO354,MAX(0,'Start Here'!$B$10-SUM($AJ354:$AS354)-SUMPRODUCT(($Z$3:$AI$3&lt;AE$3)*($Z354:$AI354-$AJ354:$AS354))))</f>
        <v>0</v>
      </c>
      <c r="L354" s="42" t="n">
        <f aca="false">AP354+MIN(AF354-AP354,MAX(0,'Start Here'!$B$10-SUM($AJ354:$AS354)-SUMPRODUCT(($Z$3:$AI$3&lt;AF$3)*($Z354:$AI354-$AJ354:$AS354))))</f>
        <v>0</v>
      </c>
      <c r="M354" s="42" t="n">
        <f aca="false">AQ354+MIN(AG354-AQ354,MAX(0,'Start Here'!$B$10-SUM($AJ354:$AS354)-SUMPRODUCT(($Z$3:$AI$3&lt;AG$3)*($Z354:$AI354-$AJ354:$AS354))))</f>
        <v>0</v>
      </c>
      <c r="N354" s="42" t="n">
        <f aca="false">AR354+MIN(AH354-AR354,MAX(0,'Start Here'!$B$10-SUM($AJ354:$AS354)-SUMPRODUCT(($Z$3:$AI$3&lt;AH$3)*($Z354:$AI354-$AJ354:$AS354))))</f>
        <v>0</v>
      </c>
      <c r="O354" s="42" t="n">
        <f aca="false">AS354+MIN(AI354-AS354,MAX(0,'Start Here'!$B$10-SUM($AJ354:$AS354)-SUMPRODUCT(($Z$3:$AI$3&lt;AI$3)*($Z354:$AI354-$AJ354:$AS354))))</f>
        <v>0</v>
      </c>
      <c r="P354" s="42" t="n">
        <f aca="false">ROUND(Z354-F354,2)</f>
        <v>0</v>
      </c>
      <c r="Q354" s="42" t="n">
        <f aca="false">ROUND(AA354-G354,2)</f>
        <v>0</v>
      </c>
      <c r="R354" s="42" t="n">
        <f aca="false">ROUND(AB354-H354,2)</f>
        <v>0</v>
      </c>
      <c r="S354" s="42" t="n">
        <f aca="false">ROUND(AC354-I354,2)</f>
        <v>0</v>
      </c>
      <c r="T354" s="42" t="n">
        <f aca="false">ROUND(AD354-J354,2)</f>
        <v>0</v>
      </c>
      <c r="U354" s="42" t="n">
        <f aca="false">ROUND(AE354-K354,2)</f>
        <v>0</v>
      </c>
      <c r="V354" s="42" t="n">
        <f aca="false">ROUND(AF354-L354,2)</f>
        <v>0</v>
      </c>
      <c r="W354" s="42" t="n">
        <f aca="false">ROUND(AG354-M354,2)</f>
        <v>0</v>
      </c>
      <c r="X354" s="42" t="n">
        <f aca="false">ROUND(AH354-N354,2)</f>
        <v>0</v>
      </c>
      <c r="Y354" s="42" t="n">
        <f aca="false">ROUND(AI354-O354,2)</f>
        <v>0</v>
      </c>
      <c r="Z354" s="56" t="n">
        <f aca="false">ROUND(P353*(1+N(Debts!$D$5)/12),2)</f>
        <v>0</v>
      </c>
      <c r="AA354" s="56" t="n">
        <f aca="false">ROUND(Q353*(1+N(Debts!$D$6)/12),2)</f>
        <v>0</v>
      </c>
      <c r="AB354" s="56" t="n">
        <f aca="false">ROUND(R353*(1+N(Debts!$D$7)/12),2)</f>
        <v>0</v>
      </c>
      <c r="AC354" s="56" t="n">
        <f aca="false">ROUND(S353*(1+N(Debts!$D$8)/12),2)</f>
        <v>0</v>
      </c>
      <c r="AD354" s="56" t="n">
        <f aca="false">ROUND(T353*(1+N(Debts!$D$9)/12),2)</f>
        <v>0</v>
      </c>
      <c r="AE354" s="56" t="n">
        <f aca="false">ROUND(U353*(1+N(Debts!$D$10)/12),2)</f>
        <v>0</v>
      </c>
      <c r="AF354" s="56" t="n">
        <f aca="false">ROUND(V353*(1+N(Debts!$D$11)/12),2)</f>
        <v>0</v>
      </c>
      <c r="AG354" s="56" t="n">
        <f aca="false">ROUND(W353*(1+N(Debts!$D$12)/12),2)</f>
        <v>0</v>
      </c>
      <c r="AH354" s="56" t="n">
        <f aca="false">ROUND(X353*(1+N(Debts!$D$13)/12),2)</f>
        <v>0</v>
      </c>
      <c r="AI354" s="56" t="n">
        <f aca="false">ROUND(Y353*(1+N(Debts!$D$14)/12),2)</f>
        <v>0</v>
      </c>
      <c r="AJ354" s="56" t="n">
        <f aca="false">MIN(Z354,MAX(0,N(Debts!$E$5)))</f>
        <v>0</v>
      </c>
      <c r="AK354" s="56" t="n">
        <f aca="false">MIN(AA354,MAX(0,N(Debts!$E$6)))</f>
        <v>0</v>
      </c>
      <c r="AL354" s="56" t="n">
        <f aca="false">MIN(AB354,MAX(0,N(Debts!$E$7)))</f>
        <v>0</v>
      </c>
      <c r="AM354" s="56" t="n">
        <f aca="false">MIN(AC354,MAX(0,N(Debts!$E$8)))</f>
        <v>0</v>
      </c>
      <c r="AN354" s="56" t="n">
        <f aca="false">MIN(AD354,MAX(0,N(Debts!$E$9)))</f>
        <v>0</v>
      </c>
      <c r="AO354" s="56" t="n">
        <f aca="false">MIN(AE354,MAX(0,N(Debts!$E$10)))</f>
        <v>0</v>
      </c>
      <c r="AP354" s="56" t="n">
        <f aca="false">MIN(AF354,MAX(0,N(Debts!$E$11)))</f>
        <v>0</v>
      </c>
      <c r="AQ354" s="56" t="n">
        <f aca="false">MIN(AG354,MAX(0,N(Debts!$E$12)))</f>
        <v>0</v>
      </c>
      <c r="AR354" s="56" t="n">
        <f aca="false">MIN(AH354,MAX(0,N(Debts!$E$13)))</f>
        <v>0</v>
      </c>
      <c r="AS354" s="56" t="n">
        <f aca="false">MIN(AI354,MAX(0,N(Debts!$E$14)))</f>
        <v>0</v>
      </c>
    </row>
    <row r="355" customFormat="false" ht="15" hidden="false" customHeight="false" outlineLevel="0" collapsed="false">
      <c r="A355" s="53" t="n">
        <v>351</v>
      </c>
      <c r="B355" s="54" t="n">
        <f aca="false">EDATE('Start Here'!$B$8,350)</f>
        <v>56980</v>
      </c>
      <c r="C355" s="42" t="n">
        <f aca="false">SUM(F355:O355)</f>
        <v>0</v>
      </c>
      <c r="D355" s="42" t="n">
        <f aca="false">ROUND(SUM($Z355:$AI355)-SUM(P354:Y354),2)</f>
        <v>0</v>
      </c>
      <c r="E355" s="55" t="n">
        <f aca="false">SUM(P355:Y355)</f>
        <v>0</v>
      </c>
      <c r="F355" s="42" t="n">
        <f aca="false">AJ355+MIN(Z355-AJ355,MAX(0,'Start Here'!$B$10-SUM($AJ355:$AS355)-SUMPRODUCT(($Z$3:$AI$3&lt;Z$3)*($Z355:$AI355-$AJ355:$AS355))))</f>
        <v>0</v>
      </c>
      <c r="G355" s="42" t="n">
        <f aca="false">AK355+MIN(AA355-AK355,MAX(0,'Start Here'!$B$10-SUM($AJ355:$AS355)-SUMPRODUCT(($Z$3:$AI$3&lt;AA$3)*($Z355:$AI355-$AJ355:$AS355))))</f>
        <v>0</v>
      </c>
      <c r="H355" s="42" t="n">
        <f aca="false">AL355+MIN(AB355-AL355,MAX(0,'Start Here'!$B$10-SUM($AJ355:$AS355)-SUMPRODUCT(($Z$3:$AI$3&lt;AB$3)*($Z355:$AI355-$AJ355:$AS355))))</f>
        <v>0</v>
      </c>
      <c r="I355" s="42" t="n">
        <f aca="false">AM355+MIN(AC355-AM355,MAX(0,'Start Here'!$B$10-SUM($AJ355:$AS355)-SUMPRODUCT(($Z$3:$AI$3&lt;AC$3)*($Z355:$AI355-$AJ355:$AS355))))</f>
        <v>0</v>
      </c>
      <c r="J355" s="42" t="n">
        <f aca="false">AN355+MIN(AD355-AN355,MAX(0,'Start Here'!$B$10-SUM($AJ355:$AS355)-SUMPRODUCT(($Z$3:$AI$3&lt;AD$3)*($Z355:$AI355-$AJ355:$AS355))))</f>
        <v>0</v>
      </c>
      <c r="K355" s="42" t="n">
        <f aca="false">AO355+MIN(AE355-AO355,MAX(0,'Start Here'!$B$10-SUM($AJ355:$AS355)-SUMPRODUCT(($Z$3:$AI$3&lt;AE$3)*($Z355:$AI355-$AJ355:$AS355))))</f>
        <v>0</v>
      </c>
      <c r="L355" s="42" t="n">
        <f aca="false">AP355+MIN(AF355-AP355,MAX(0,'Start Here'!$B$10-SUM($AJ355:$AS355)-SUMPRODUCT(($Z$3:$AI$3&lt;AF$3)*($Z355:$AI355-$AJ355:$AS355))))</f>
        <v>0</v>
      </c>
      <c r="M355" s="42" t="n">
        <f aca="false">AQ355+MIN(AG355-AQ355,MAX(0,'Start Here'!$B$10-SUM($AJ355:$AS355)-SUMPRODUCT(($Z$3:$AI$3&lt;AG$3)*($Z355:$AI355-$AJ355:$AS355))))</f>
        <v>0</v>
      </c>
      <c r="N355" s="42" t="n">
        <f aca="false">AR355+MIN(AH355-AR355,MAX(0,'Start Here'!$B$10-SUM($AJ355:$AS355)-SUMPRODUCT(($Z$3:$AI$3&lt;AH$3)*($Z355:$AI355-$AJ355:$AS355))))</f>
        <v>0</v>
      </c>
      <c r="O355" s="42" t="n">
        <f aca="false">AS355+MIN(AI355-AS355,MAX(0,'Start Here'!$B$10-SUM($AJ355:$AS355)-SUMPRODUCT(($Z$3:$AI$3&lt;AI$3)*($Z355:$AI355-$AJ355:$AS355))))</f>
        <v>0</v>
      </c>
      <c r="P355" s="42" t="n">
        <f aca="false">ROUND(Z355-F355,2)</f>
        <v>0</v>
      </c>
      <c r="Q355" s="42" t="n">
        <f aca="false">ROUND(AA355-G355,2)</f>
        <v>0</v>
      </c>
      <c r="R355" s="42" t="n">
        <f aca="false">ROUND(AB355-H355,2)</f>
        <v>0</v>
      </c>
      <c r="S355" s="42" t="n">
        <f aca="false">ROUND(AC355-I355,2)</f>
        <v>0</v>
      </c>
      <c r="T355" s="42" t="n">
        <f aca="false">ROUND(AD355-J355,2)</f>
        <v>0</v>
      </c>
      <c r="U355" s="42" t="n">
        <f aca="false">ROUND(AE355-K355,2)</f>
        <v>0</v>
      </c>
      <c r="V355" s="42" t="n">
        <f aca="false">ROUND(AF355-L355,2)</f>
        <v>0</v>
      </c>
      <c r="W355" s="42" t="n">
        <f aca="false">ROUND(AG355-M355,2)</f>
        <v>0</v>
      </c>
      <c r="X355" s="42" t="n">
        <f aca="false">ROUND(AH355-N355,2)</f>
        <v>0</v>
      </c>
      <c r="Y355" s="42" t="n">
        <f aca="false">ROUND(AI355-O355,2)</f>
        <v>0</v>
      </c>
      <c r="Z355" s="56" t="n">
        <f aca="false">ROUND(P354*(1+N(Debts!$D$5)/12),2)</f>
        <v>0</v>
      </c>
      <c r="AA355" s="56" t="n">
        <f aca="false">ROUND(Q354*(1+N(Debts!$D$6)/12),2)</f>
        <v>0</v>
      </c>
      <c r="AB355" s="56" t="n">
        <f aca="false">ROUND(R354*(1+N(Debts!$D$7)/12),2)</f>
        <v>0</v>
      </c>
      <c r="AC355" s="56" t="n">
        <f aca="false">ROUND(S354*(1+N(Debts!$D$8)/12),2)</f>
        <v>0</v>
      </c>
      <c r="AD355" s="56" t="n">
        <f aca="false">ROUND(T354*(1+N(Debts!$D$9)/12),2)</f>
        <v>0</v>
      </c>
      <c r="AE355" s="56" t="n">
        <f aca="false">ROUND(U354*(1+N(Debts!$D$10)/12),2)</f>
        <v>0</v>
      </c>
      <c r="AF355" s="56" t="n">
        <f aca="false">ROUND(V354*(1+N(Debts!$D$11)/12),2)</f>
        <v>0</v>
      </c>
      <c r="AG355" s="56" t="n">
        <f aca="false">ROUND(W354*(1+N(Debts!$D$12)/12),2)</f>
        <v>0</v>
      </c>
      <c r="AH355" s="56" t="n">
        <f aca="false">ROUND(X354*(1+N(Debts!$D$13)/12),2)</f>
        <v>0</v>
      </c>
      <c r="AI355" s="56" t="n">
        <f aca="false">ROUND(Y354*(1+N(Debts!$D$14)/12),2)</f>
        <v>0</v>
      </c>
      <c r="AJ355" s="56" t="n">
        <f aca="false">MIN(Z355,MAX(0,N(Debts!$E$5)))</f>
        <v>0</v>
      </c>
      <c r="AK355" s="56" t="n">
        <f aca="false">MIN(AA355,MAX(0,N(Debts!$E$6)))</f>
        <v>0</v>
      </c>
      <c r="AL355" s="56" t="n">
        <f aca="false">MIN(AB355,MAX(0,N(Debts!$E$7)))</f>
        <v>0</v>
      </c>
      <c r="AM355" s="56" t="n">
        <f aca="false">MIN(AC355,MAX(0,N(Debts!$E$8)))</f>
        <v>0</v>
      </c>
      <c r="AN355" s="56" t="n">
        <f aca="false">MIN(AD355,MAX(0,N(Debts!$E$9)))</f>
        <v>0</v>
      </c>
      <c r="AO355" s="56" t="n">
        <f aca="false">MIN(AE355,MAX(0,N(Debts!$E$10)))</f>
        <v>0</v>
      </c>
      <c r="AP355" s="56" t="n">
        <f aca="false">MIN(AF355,MAX(0,N(Debts!$E$11)))</f>
        <v>0</v>
      </c>
      <c r="AQ355" s="56" t="n">
        <f aca="false">MIN(AG355,MAX(0,N(Debts!$E$12)))</f>
        <v>0</v>
      </c>
      <c r="AR355" s="56" t="n">
        <f aca="false">MIN(AH355,MAX(0,N(Debts!$E$13)))</f>
        <v>0</v>
      </c>
      <c r="AS355" s="56" t="n">
        <f aca="false">MIN(AI355,MAX(0,N(Debts!$E$14)))</f>
        <v>0</v>
      </c>
    </row>
    <row r="356" customFormat="false" ht="15" hidden="false" customHeight="false" outlineLevel="0" collapsed="false">
      <c r="A356" s="53" t="n">
        <v>352</v>
      </c>
      <c r="B356" s="54" t="n">
        <f aca="false">EDATE('Start Here'!$B$8,351)</f>
        <v>57011</v>
      </c>
      <c r="C356" s="42" t="n">
        <f aca="false">SUM(F356:O356)</f>
        <v>0</v>
      </c>
      <c r="D356" s="42" t="n">
        <f aca="false">ROUND(SUM($Z356:$AI356)-SUM(P355:Y355),2)</f>
        <v>0</v>
      </c>
      <c r="E356" s="55" t="n">
        <f aca="false">SUM(P356:Y356)</f>
        <v>0</v>
      </c>
      <c r="F356" s="42" t="n">
        <f aca="false">AJ356+MIN(Z356-AJ356,MAX(0,'Start Here'!$B$10-SUM($AJ356:$AS356)-SUMPRODUCT(($Z$3:$AI$3&lt;Z$3)*($Z356:$AI356-$AJ356:$AS356))))</f>
        <v>0</v>
      </c>
      <c r="G356" s="42" t="n">
        <f aca="false">AK356+MIN(AA356-AK356,MAX(0,'Start Here'!$B$10-SUM($AJ356:$AS356)-SUMPRODUCT(($Z$3:$AI$3&lt;AA$3)*($Z356:$AI356-$AJ356:$AS356))))</f>
        <v>0</v>
      </c>
      <c r="H356" s="42" t="n">
        <f aca="false">AL356+MIN(AB356-AL356,MAX(0,'Start Here'!$B$10-SUM($AJ356:$AS356)-SUMPRODUCT(($Z$3:$AI$3&lt;AB$3)*($Z356:$AI356-$AJ356:$AS356))))</f>
        <v>0</v>
      </c>
      <c r="I356" s="42" t="n">
        <f aca="false">AM356+MIN(AC356-AM356,MAX(0,'Start Here'!$B$10-SUM($AJ356:$AS356)-SUMPRODUCT(($Z$3:$AI$3&lt;AC$3)*($Z356:$AI356-$AJ356:$AS356))))</f>
        <v>0</v>
      </c>
      <c r="J356" s="42" t="n">
        <f aca="false">AN356+MIN(AD356-AN356,MAX(0,'Start Here'!$B$10-SUM($AJ356:$AS356)-SUMPRODUCT(($Z$3:$AI$3&lt;AD$3)*($Z356:$AI356-$AJ356:$AS356))))</f>
        <v>0</v>
      </c>
      <c r="K356" s="42" t="n">
        <f aca="false">AO356+MIN(AE356-AO356,MAX(0,'Start Here'!$B$10-SUM($AJ356:$AS356)-SUMPRODUCT(($Z$3:$AI$3&lt;AE$3)*($Z356:$AI356-$AJ356:$AS356))))</f>
        <v>0</v>
      </c>
      <c r="L356" s="42" t="n">
        <f aca="false">AP356+MIN(AF356-AP356,MAX(0,'Start Here'!$B$10-SUM($AJ356:$AS356)-SUMPRODUCT(($Z$3:$AI$3&lt;AF$3)*($Z356:$AI356-$AJ356:$AS356))))</f>
        <v>0</v>
      </c>
      <c r="M356" s="42" t="n">
        <f aca="false">AQ356+MIN(AG356-AQ356,MAX(0,'Start Here'!$B$10-SUM($AJ356:$AS356)-SUMPRODUCT(($Z$3:$AI$3&lt;AG$3)*($Z356:$AI356-$AJ356:$AS356))))</f>
        <v>0</v>
      </c>
      <c r="N356" s="42" t="n">
        <f aca="false">AR356+MIN(AH356-AR356,MAX(0,'Start Here'!$B$10-SUM($AJ356:$AS356)-SUMPRODUCT(($Z$3:$AI$3&lt;AH$3)*($Z356:$AI356-$AJ356:$AS356))))</f>
        <v>0</v>
      </c>
      <c r="O356" s="42" t="n">
        <f aca="false">AS356+MIN(AI356-AS356,MAX(0,'Start Here'!$B$10-SUM($AJ356:$AS356)-SUMPRODUCT(($Z$3:$AI$3&lt;AI$3)*($Z356:$AI356-$AJ356:$AS356))))</f>
        <v>0</v>
      </c>
      <c r="P356" s="42" t="n">
        <f aca="false">ROUND(Z356-F356,2)</f>
        <v>0</v>
      </c>
      <c r="Q356" s="42" t="n">
        <f aca="false">ROUND(AA356-G356,2)</f>
        <v>0</v>
      </c>
      <c r="R356" s="42" t="n">
        <f aca="false">ROUND(AB356-H356,2)</f>
        <v>0</v>
      </c>
      <c r="S356" s="42" t="n">
        <f aca="false">ROUND(AC356-I356,2)</f>
        <v>0</v>
      </c>
      <c r="T356" s="42" t="n">
        <f aca="false">ROUND(AD356-J356,2)</f>
        <v>0</v>
      </c>
      <c r="U356" s="42" t="n">
        <f aca="false">ROUND(AE356-K356,2)</f>
        <v>0</v>
      </c>
      <c r="V356" s="42" t="n">
        <f aca="false">ROUND(AF356-L356,2)</f>
        <v>0</v>
      </c>
      <c r="W356" s="42" t="n">
        <f aca="false">ROUND(AG356-M356,2)</f>
        <v>0</v>
      </c>
      <c r="X356" s="42" t="n">
        <f aca="false">ROUND(AH356-N356,2)</f>
        <v>0</v>
      </c>
      <c r="Y356" s="42" t="n">
        <f aca="false">ROUND(AI356-O356,2)</f>
        <v>0</v>
      </c>
      <c r="Z356" s="56" t="n">
        <f aca="false">ROUND(P355*(1+N(Debts!$D$5)/12),2)</f>
        <v>0</v>
      </c>
      <c r="AA356" s="56" t="n">
        <f aca="false">ROUND(Q355*(1+N(Debts!$D$6)/12),2)</f>
        <v>0</v>
      </c>
      <c r="AB356" s="56" t="n">
        <f aca="false">ROUND(R355*(1+N(Debts!$D$7)/12),2)</f>
        <v>0</v>
      </c>
      <c r="AC356" s="56" t="n">
        <f aca="false">ROUND(S355*(1+N(Debts!$D$8)/12),2)</f>
        <v>0</v>
      </c>
      <c r="AD356" s="56" t="n">
        <f aca="false">ROUND(T355*(1+N(Debts!$D$9)/12),2)</f>
        <v>0</v>
      </c>
      <c r="AE356" s="56" t="n">
        <f aca="false">ROUND(U355*(1+N(Debts!$D$10)/12),2)</f>
        <v>0</v>
      </c>
      <c r="AF356" s="56" t="n">
        <f aca="false">ROUND(V355*(1+N(Debts!$D$11)/12),2)</f>
        <v>0</v>
      </c>
      <c r="AG356" s="56" t="n">
        <f aca="false">ROUND(W355*(1+N(Debts!$D$12)/12),2)</f>
        <v>0</v>
      </c>
      <c r="AH356" s="56" t="n">
        <f aca="false">ROUND(X355*(1+N(Debts!$D$13)/12),2)</f>
        <v>0</v>
      </c>
      <c r="AI356" s="56" t="n">
        <f aca="false">ROUND(Y355*(1+N(Debts!$D$14)/12),2)</f>
        <v>0</v>
      </c>
      <c r="AJ356" s="56" t="n">
        <f aca="false">MIN(Z356,MAX(0,N(Debts!$E$5)))</f>
        <v>0</v>
      </c>
      <c r="AK356" s="56" t="n">
        <f aca="false">MIN(AA356,MAX(0,N(Debts!$E$6)))</f>
        <v>0</v>
      </c>
      <c r="AL356" s="56" t="n">
        <f aca="false">MIN(AB356,MAX(0,N(Debts!$E$7)))</f>
        <v>0</v>
      </c>
      <c r="AM356" s="56" t="n">
        <f aca="false">MIN(AC356,MAX(0,N(Debts!$E$8)))</f>
        <v>0</v>
      </c>
      <c r="AN356" s="56" t="n">
        <f aca="false">MIN(AD356,MAX(0,N(Debts!$E$9)))</f>
        <v>0</v>
      </c>
      <c r="AO356" s="56" t="n">
        <f aca="false">MIN(AE356,MAX(0,N(Debts!$E$10)))</f>
        <v>0</v>
      </c>
      <c r="AP356" s="56" t="n">
        <f aca="false">MIN(AF356,MAX(0,N(Debts!$E$11)))</f>
        <v>0</v>
      </c>
      <c r="AQ356" s="56" t="n">
        <f aca="false">MIN(AG356,MAX(0,N(Debts!$E$12)))</f>
        <v>0</v>
      </c>
      <c r="AR356" s="56" t="n">
        <f aca="false">MIN(AH356,MAX(0,N(Debts!$E$13)))</f>
        <v>0</v>
      </c>
      <c r="AS356" s="56" t="n">
        <f aca="false">MIN(AI356,MAX(0,N(Debts!$E$14)))</f>
        <v>0</v>
      </c>
    </row>
    <row r="357" customFormat="false" ht="15" hidden="false" customHeight="false" outlineLevel="0" collapsed="false">
      <c r="A357" s="53" t="n">
        <v>353</v>
      </c>
      <c r="B357" s="54" t="n">
        <f aca="false">EDATE('Start Here'!$B$8,352)</f>
        <v>57040</v>
      </c>
      <c r="C357" s="42" t="n">
        <f aca="false">SUM(F357:O357)</f>
        <v>0</v>
      </c>
      <c r="D357" s="42" t="n">
        <f aca="false">ROUND(SUM($Z357:$AI357)-SUM(P356:Y356),2)</f>
        <v>0</v>
      </c>
      <c r="E357" s="55" t="n">
        <f aca="false">SUM(P357:Y357)</f>
        <v>0</v>
      </c>
      <c r="F357" s="42" t="n">
        <f aca="false">AJ357+MIN(Z357-AJ357,MAX(0,'Start Here'!$B$10-SUM($AJ357:$AS357)-SUMPRODUCT(($Z$3:$AI$3&lt;Z$3)*($Z357:$AI357-$AJ357:$AS357))))</f>
        <v>0</v>
      </c>
      <c r="G357" s="42" t="n">
        <f aca="false">AK357+MIN(AA357-AK357,MAX(0,'Start Here'!$B$10-SUM($AJ357:$AS357)-SUMPRODUCT(($Z$3:$AI$3&lt;AA$3)*($Z357:$AI357-$AJ357:$AS357))))</f>
        <v>0</v>
      </c>
      <c r="H357" s="42" t="n">
        <f aca="false">AL357+MIN(AB357-AL357,MAX(0,'Start Here'!$B$10-SUM($AJ357:$AS357)-SUMPRODUCT(($Z$3:$AI$3&lt;AB$3)*($Z357:$AI357-$AJ357:$AS357))))</f>
        <v>0</v>
      </c>
      <c r="I357" s="42" t="n">
        <f aca="false">AM357+MIN(AC357-AM357,MAX(0,'Start Here'!$B$10-SUM($AJ357:$AS357)-SUMPRODUCT(($Z$3:$AI$3&lt;AC$3)*($Z357:$AI357-$AJ357:$AS357))))</f>
        <v>0</v>
      </c>
      <c r="J357" s="42" t="n">
        <f aca="false">AN357+MIN(AD357-AN357,MAX(0,'Start Here'!$B$10-SUM($AJ357:$AS357)-SUMPRODUCT(($Z$3:$AI$3&lt;AD$3)*($Z357:$AI357-$AJ357:$AS357))))</f>
        <v>0</v>
      </c>
      <c r="K357" s="42" t="n">
        <f aca="false">AO357+MIN(AE357-AO357,MAX(0,'Start Here'!$B$10-SUM($AJ357:$AS357)-SUMPRODUCT(($Z$3:$AI$3&lt;AE$3)*($Z357:$AI357-$AJ357:$AS357))))</f>
        <v>0</v>
      </c>
      <c r="L357" s="42" t="n">
        <f aca="false">AP357+MIN(AF357-AP357,MAX(0,'Start Here'!$B$10-SUM($AJ357:$AS357)-SUMPRODUCT(($Z$3:$AI$3&lt;AF$3)*($Z357:$AI357-$AJ357:$AS357))))</f>
        <v>0</v>
      </c>
      <c r="M357" s="42" t="n">
        <f aca="false">AQ357+MIN(AG357-AQ357,MAX(0,'Start Here'!$B$10-SUM($AJ357:$AS357)-SUMPRODUCT(($Z$3:$AI$3&lt;AG$3)*($Z357:$AI357-$AJ357:$AS357))))</f>
        <v>0</v>
      </c>
      <c r="N357" s="42" t="n">
        <f aca="false">AR357+MIN(AH357-AR357,MAX(0,'Start Here'!$B$10-SUM($AJ357:$AS357)-SUMPRODUCT(($Z$3:$AI$3&lt;AH$3)*($Z357:$AI357-$AJ357:$AS357))))</f>
        <v>0</v>
      </c>
      <c r="O357" s="42" t="n">
        <f aca="false">AS357+MIN(AI357-AS357,MAX(0,'Start Here'!$B$10-SUM($AJ357:$AS357)-SUMPRODUCT(($Z$3:$AI$3&lt;AI$3)*($Z357:$AI357-$AJ357:$AS357))))</f>
        <v>0</v>
      </c>
      <c r="P357" s="42" t="n">
        <f aca="false">ROUND(Z357-F357,2)</f>
        <v>0</v>
      </c>
      <c r="Q357" s="42" t="n">
        <f aca="false">ROUND(AA357-G357,2)</f>
        <v>0</v>
      </c>
      <c r="R357" s="42" t="n">
        <f aca="false">ROUND(AB357-H357,2)</f>
        <v>0</v>
      </c>
      <c r="S357" s="42" t="n">
        <f aca="false">ROUND(AC357-I357,2)</f>
        <v>0</v>
      </c>
      <c r="T357" s="42" t="n">
        <f aca="false">ROUND(AD357-J357,2)</f>
        <v>0</v>
      </c>
      <c r="U357" s="42" t="n">
        <f aca="false">ROUND(AE357-K357,2)</f>
        <v>0</v>
      </c>
      <c r="V357" s="42" t="n">
        <f aca="false">ROUND(AF357-L357,2)</f>
        <v>0</v>
      </c>
      <c r="W357" s="42" t="n">
        <f aca="false">ROUND(AG357-M357,2)</f>
        <v>0</v>
      </c>
      <c r="X357" s="42" t="n">
        <f aca="false">ROUND(AH357-N357,2)</f>
        <v>0</v>
      </c>
      <c r="Y357" s="42" t="n">
        <f aca="false">ROUND(AI357-O357,2)</f>
        <v>0</v>
      </c>
      <c r="Z357" s="56" t="n">
        <f aca="false">ROUND(P356*(1+N(Debts!$D$5)/12),2)</f>
        <v>0</v>
      </c>
      <c r="AA357" s="56" t="n">
        <f aca="false">ROUND(Q356*(1+N(Debts!$D$6)/12),2)</f>
        <v>0</v>
      </c>
      <c r="AB357" s="56" t="n">
        <f aca="false">ROUND(R356*(1+N(Debts!$D$7)/12),2)</f>
        <v>0</v>
      </c>
      <c r="AC357" s="56" t="n">
        <f aca="false">ROUND(S356*(1+N(Debts!$D$8)/12),2)</f>
        <v>0</v>
      </c>
      <c r="AD357" s="56" t="n">
        <f aca="false">ROUND(T356*(1+N(Debts!$D$9)/12),2)</f>
        <v>0</v>
      </c>
      <c r="AE357" s="56" t="n">
        <f aca="false">ROUND(U356*(1+N(Debts!$D$10)/12),2)</f>
        <v>0</v>
      </c>
      <c r="AF357" s="56" t="n">
        <f aca="false">ROUND(V356*(1+N(Debts!$D$11)/12),2)</f>
        <v>0</v>
      </c>
      <c r="AG357" s="56" t="n">
        <f aca="false">ROUND(W356*(1+N(Debts!$D$12)/12),2)</f>
        <v>0</v>
      </c>
      <c r="AH357" s="56" t="n">
        <f aca="false">ROUND(X356*(1+N(Debts!$D$13)/12),2)</f>
        <v>0</v>
      </c>
      <c r="AI357" s="56" t="n">
        <f aca="false">ROUND(Y356*(1+N(Debts!$D$14)/12),2)</f>
        <v>0</v>
      </c>
      <c r="AJ357" s="56" t="n">
        <f aca="false">MIN(Z357,MAX(0,N(Debts!$E$5)))</f>
        <v>0</v>
      </c>
      <c r="AK357" s="56" t="n">
        <f aca="false">MIN(AA357,MAX(0,N(Debts!$E$6)))</f>
        <v>0</v>
      </c>
      <c r="AL357" s="56" t="n">
        <f aca="false">MIN(AB357,MAX(0,N(Debts!$E$7)))</f>
        <v>0</v>
      </c>
      <c r="AM357" s="56" t="n">
        <f aca="false">MIN(AC357,MAX(0,N(Debts!$E$8)))</f>
        <v>0</v>
      </c>
      <c r="AN357" s="56" t="n">
        <f aca="false">MIN(AD357,MAX(0,N(Debts!$E$9)))</f>
        <v>0</v>
      </c>
      <c r="AO357" s="56" t="n">
        <f aca="false">MIN(AE357,MAX(0,N(Debts!$E$10)))</f>
        <v>0</v>
      </c>
      <c r="AP357" s="56" t="n">
        <f aca="false">MIN(AF357,MAX(0,N(Debts!$E$11)))</f>
        <v>0</v>
      </c>
      <c r="AQ357" s="56" t="n">
        <f aca="false">MIN(AG357,MAX(0,N(Debts!$E$12)))</f>
        <v>0</v>
      </c>
      <c r="AR357" s="56" t="n">
        <f aca="false">MIN(AH357,MAX(0,N(Debts!$E$13)))</f>
        <v>0</v>
      </c>
      <c r="AS357" s="56" t="n">
        <f aca="false">MIN(AI357,MAX(0,N(Debts!$E$14)))</f>
        <v>0</v>
      </c>
    </row>
    <row r="358" customFormat="false" ht="15" hidden="false" customHeight="false" outlineLevel="0" collapsed="false">
      <c r="A358" s="53" t="n">
        <v>354</v>
      </c>
      <c r="B358" s="54" t="n">
        <f aca="false">EDATE('Start Here'!$B$8,353)</f>
        <v>57071</v>
      </c>
      <c r="C358" s="42" t="n">
        <f aca="false">SUM(F358:O358)</f>
        <v>0</v>
      </c>
      <c r="D358" s="42" t="n">
        <f aca="false">ROUND(SUM($Z358:$AI358)-SUM(P357:Y357),2)</f>
        <v>0</v>
      </c>
      <c r="E358" s="55" t="n">
        <f aca="false">SUM(P358:Y358)</f>
        <v>0</v>
      </c>
      <c r="F358" s="42" t="n">
        <f aca="false">AJ358+MIN(Z358-AJ358,MAX(0,'Start Here'!$B$10-SUM($AJ358:$AS358)-SUMPRODUCT(($Z$3:$AI$3&lt;Z$3)*($Z358:$AI358-$AJ358:$AS358))))</f>
        <v>0</v>
      </c>
      <c r="G358" s="42" t="n">
        <f aca="false">AK358+MIN(AA358-AK358,MAX(0,'Start Here'!$B$10-SUM($AJ358:$AS358)-SUMPRODUCT(($Z$3:$AI$3&lt;AA$3)*($Z358:$AI358-$AJ358:$AS358))))</f>
        <v>0</v>
      </c>
      <c r="H358" s="42" t="n">
        <f aca="false">AL358+MIN(AB358-AL358,MAX(0,'Start Here'!$B$10-SUM($AJ358:$AS358)-SUMPRODUCT(($Z$3:$AI$3&lt;AB$3)*($Z358:$AI358-$AJ358:$AS358))))</f>
        <v>0</v>
      </c>
      <c r="I358" s="42" t="n">
        <f aca="false">AM358+MIN(AC358-AM358,MAX(0,'Start Here'!$B$10-SUM($AJ358:$AS358)-SUMPRODUCT(($Z$3:$AI$3&lt;AC$3)*($Z358:$AI358-$AJ358:$AS358))))</f>
        <v>0</v>
      </c>
      <c r="J358" s="42" t="n">
        <f aca="false">AN358+MIN(AD358-AN358,MAX(0,'Start Here'!$B$10-SUM($AJ358:$AS358)-SUMPRODUCT(($Z$3:$AI$3&lt;AD$3)*($Z358:$AI358-$AJ358:$AS358))))</f>
        <v>0</v>
      </c>
      <c r="K358" s="42" t="n">
        <f aca="false">AO358+MIN(AE358-AO358,MAX(0,'Start Here'!$B$10-SUM($AJ358:$AS358)-SUMPRODUCT(($Z$3:$AI$3&lt;AE$3)*($Z358:$AI358-$AJ358:$AS358))))</f>
        <v>0</v>
      </c>
      <c r="L358" s="42" t="n">
        <f aca="false">AP358+MIN(AF358-AP358,MAX(0,'Start Here'!$B$10-SUM($AJ358:$AS358)-SUMPRODUCT(($Z$3:$AI$3&lt;AF$3)*($Z358:$AI358-$AJ358:$AS358))))</f>
        <v>0</v>
      </c>
      <c r="M358" s="42" t="n">
        <f aca="false">AQ358+MIN(AG358-AQ358,MAX(0,'Start Here'!$B$10-SUM($AJ358:$AS358)-SUMPRODUCT(($Z$3:$AI$3&lt;AG$3)*($Z358:$AI358-$AJ358:$AS358))))</f>
        <v>0</v>
      </c>
      <c r="N358" s="42" t="n">
        <f aca="false">AR358+MIN(AH358-AR358,MAX(0,'Start Here'!$B$10-SUM($AJ358:$AS358)-SUMPRODUCT(($Z$3:$AI$3&lt;AH$3)*($Z358:$AI358-$AJ358:$AS358))))</f>
        <v>0</v>
      </c>
      <c r="O358" s="42" t="n">
        <f aca="false">AS358+MIN(AI358-AS358,MAX(0,'Start Here'!$B$10-SUM($AJ358:$AS358)-SUMPRODUCT(($Z$3:$AI$3&lt;AI$3)*($Z358:$AI358-$AJ358:$AS358))))</f>
        <v>0</v>
      </c>
      <c r="P358" s="42" t="n">
        <f aca="false">ROUND(Z358-F358,2)</f>
        <v>0</v>
      </c>
      <c r="Q358" s="42" t="n">
        <f aca="false">ROUND(AA358-G358,2)</f>
        <v>0</v>
      </c>
      <c r="R358" s="42" t="n">
        <f aca="false">ROUND(AB358-H358,2)</f>
        <v>0</v>
      </c>
      <c r="S358" s="42" t="n">
        <f aca="false">ROUND(AC358-I358,2)</f>
        <v>0</v>
      </c>
      <c r="T358" s="42" t="n">
        <f aca="false">ROUND(AD358-J358,2)</f>
        <v>0</v>
      </c>
      <c r="U358" s="42" t="n">
        <f aca="false">ROUND(AE358-K358,2)</f>
        <v>0</v>
      </c>
      <c r="V358" s="42" t="n">
        <f aca="false">ROUND(AF358-L358,2)</f>
        <v>0</v>
      </c>
      <c r="W358" s="42" t="n">
        <f aca="false">ROUND(AG358-M358,2)</f>
        <v>0</v>
      </c>
      <c r="X358" s="42" t="n">
        <f aca="false">ROUND(AH358-N358,2)</f>
        <v>0</v>
      </c>
      <c r="Y358" s="42" t="n">
        <f aca="false">ROUND(AI358-O358,2)</f>
        <v>0</v>
      </c>
      <c r="Z358" s="56" t="n">
        <f aca="false">ROUND(P357*(1+N(Debts!$D$5)/12),2)</f>
        <v>0</v>
      </c>
      <c r="AA358" s="56" t="n">
        <f aca="false">ROUND(Q357*(1+N(Debts!$D$6)/12),2)</f>
        <v>0</v>
      </c>
      <c r="AB358" s="56" t="n">
        <f aca="false">ROUND(R357*(1+N(Debts!$D$7)/12),2)</f>
        <v>0</v>
      </c>
      <c r="AC358" s="56" t="n">
        <f aca="false">ROUND(S357*(1+N(Debts!$D$8)/12),2)</f>
        <v>0</v>
      </c>
      <c r="AD358" s="56" t="n">
        <f aca="false">ROUND(T357*(1+N(Debts!$D$9)/12),2)</f>
        <v>0</v>
      </c>
      <c r="AE358" s="56" t="n">
        <f aca="false">ROUND(U357*(1+N(Debts!$D$10)/12),2)</f>
        <v>0</v>
      </c>
      <c r="AF358" s="56" t="n">
        <f aca="false">ROUND(V357*(1+N(Debts!$D$11)/12),2)</f>
        <v>0</v>
      </c>
      <c r="AG358" s="56" t="n">
        <f aca="false">ROUND(W357*(1+N(Debts!$D$12)/12),2)</f>
        <v>0</v>
      </c>
      <c r="AH358" s="56" t="n">
        <f aca="false">ROUND(X357*(1+N(Debts!$D$13)/12),2)</f>
        <v>0</v>
      </c>
      <c r="AI358" s="56" t="n">
        <f aca="false">ROUND(Y357*(1+N(Debts!$D$14)/12),2)</f>
        <v>0</v>
      </c>
      <c r="AJ358" s="56" t="n">
        <f aca="false">MIN(Z358,MAX(0,N(Debts!$E$5)))</f>
        <v>0</v>
      </c>
      <c r="AK358" s="56" t="n">
        <f aca="false">MIN(AA358,MAX(0,N(Debts!$E$6)))</f>
        <v>0</v>
      </c>
      <c r="AL358" s="56" t="n">
        <f aca="false">MIN(AB358,MAX(0,N(Debts!$E$7)))</f>
        <v>0</v>
      </c>
      <c r="AM358" s="56" t="n">
        <f aca="false">MIN(AC358,MAX(0,N(Debts!$E$8)))</f>
        <v>0</v>
      </c>
      <c r="AN358" s="56" t="n">
        <f aca="false">MIN(AD358,MAX(0,N(Debts!$E$9)))</f>
        <v>0</v>
      </c>
      <c r="AO358" s="56" t="n">
        <f aca="false">MIN(AE358,MAX(0,N(Debts!$E$10)))</f>
        <v>0</v>
      </c>
      <c r="AP358" s="56" t="n">
        <f aca="false">MIN(AF358,MAX(0,N(Debts!$E$11)))</f>
        <v>0</v>
      </c>
      <c r="AQ358" s="56" t="n">
        <f aca="false">MIN(AG358,MAX(0,N(Debts!$E$12)))</f>
        <v>0</v>
      </c>
      <c r="AR358" s="56" t="n">
        <f aca="false">MIN(AH358,MAX(0,N(Debts!$E$13)))</f>
        <v>0</v>
      </c>
      <c r="AS358" s="56" t="n">
        <f aca="false">MIN(AI358,MAX(0,N(Debts!$E$14)))</f>
        <v>0</v>
      </c>
    </row>
    <row r="359" customFormat="false" ht="15" hidden="false" customHeight="false" outlineLevel="0" collapsed="false">
      <c r="A359" s="53" t="n">
        <v>355</v>
      </c>
      <c r="B359" s="54" t="n">
        <f aca="false">EDATE('Start Here'!$B$8,354)</f>
        <v>57101</v>
      </c>
      <c r="C359" s="42" t="n">
        <f aca="false">SUM(F359:O359)</f>
        <v>0</v>
      </c>
      <c r="D359" s="42" t="n">
        <f aca="false">ROUND(SUM($Z359:$AI359)-SUM(P358:Y358),2)</f>
        <v>0</v>
      </c>
      <c r="E359" s="55" t="n">
        <f aca="false">SUM(P359:Y359)</f>
        <v>0</v>
      </c>
      <c r="F359" s="42" t="n">
        <f aca="false">AJ359+MIN(Z359-AJ359,MAX(0,'Start Here'!$B$10-SUM($AJ359:$AS359)-SUMPRODUCT(($Z$3:$AI$3&lt;Z$3)*($Z359:$AI359-$AJ359:$AS359))))</f>
        <v>0</v>
      </c>
      <c r="G359" s="42" t="n">
        <f aca="false">AK359+MIN(AA359-AK359,MAX(0,'Start Here'!$B$10-SUM($AJ359:$AS359)-SUMPRODUCT(($Z$3:$AI$3&lt;AA$3)*($Z359:$AI359-$AJ359:$AS359))))</f>
        <v>0</v>
      </c>
      <c r="H359" s="42" t="n">
        <f aca="false">AL359+MIN(AB359-AL359,MAX(0,'Start Here'!$B$10-SUM($AJ359:$AS359)-SUMPRODUCT(($Z$3:$AI$3&lt;AB$3)*($Z359:$AI359-$AJ359:$AS359))))</f>
        <v>0</v>
      </c>
      <c r="I359" s="42" t="n">
        <f aca="false">AM359+MIN(AC359-AM359,MAX(0,'Start Here'!$B$10-SUM($AJ359:$AS359)-SUMPRODUCT(($Z$3:$AI$3&lt;AC$3)*($Z359:$AI359-$AJ359:$AS359))))</f>
        <v>0</v>
      </c>
      <c r="J359" s="42" t="n">
        <f aca="false">AN359+MIN(AD359-AN359,MAX(0,'Start Here'!$B$10-SUM($AJ359:$AS359)-SUMPRODUCT(($Z$3:$AI$3&lt;AD$3)*($Z359:$AI359-$AJ359:$AS359))))</f>
        <v>0</v>
      </c>
      <c r="K359" s="42" t="n">
        <f aca="false">AO359+MIN(AE359-AO359,MAX(0,'Start Here'!$B$10-SUM($AJ359:$AS359)-SUMPRODUCT(($Z$3:$AI$3&lt;AE$3)*($Z359:$AI359-$AJ359:$AS359))))</f>
        <v>0</v>
      </c>
      <c r="L359" s="42" t="n">
        <f aca="false">AP359+MIN(AF359-AP359,MAX(0,'Start Here'!$B$10-SUM($AJ359:$AS359)-SUMPRODUCT(($Z$3:$AI$3&lt;AF$3)*($Z359:$AI359-$AJ359:$AS359))))</f>
        <v>0</v>
      </c>
      <c r="M359" s="42" t="n">
        <f aca="false">AQ359+MIN(AG359-AQ359,MAX(0,'Start Here'!$B$10-SUM($AJ359:$AS359)-SUMPRODUCT(($Z$3:$AI$3&lt;AG$3)*($Z359:$AI359-$AJ359:$AS359))))</f>
        <v>0</v>
      </c>
      <c r="N359" s="42" t="n">
        <f aca="false">AR359+MIN(AH359-AR359,MAX(0,'Start Here'!$B$10-SUM($AJ359:$AS359)-SUMPRODUCT(($Z$3:$AI$3&lt;AH$3)*($Z359:$AI359-$AJ359:$AS359))))</f>
        <v>0</v>
      </c>
      <c r="O359" s="42" t="n">
        <f aca="false">AS359+MIN(AI359-AS359,MAX(0,'Start Here'!$B$10-SUM($AJ359:$AS359)-SUMPRODUCT(($Z$3:$AI$3&lt;AI$3)*($Z359:$AI359-$AJ359:$AS359))))</f>
        <v>0</v>
      </c>
      <c r="P359" s="42" t="n">
        <f aca="false">ROUND(Z359-F359,2)</f>
        <v>0</v>
      </c>
      <c r="Q359" s="42" t="n">
        <f aca="false">ROUND(AA359-G359,2)</f>
        <v>0</v>
      </c>
      <c r="R359" s="42" t="n">
        <f aca="false">ROUND(AB359-H359,2)</f>
        <v>0</v>
      </c>
      <c r="S359" s="42" t="n">
        <f aca="false">ROUND(AC359-I359,2)</f>
        <v>0</v>
      </c>
      <c r="T359" s="42" t="n">
        <f aca="false">ROUND(AD359-J359,2)</f>
        <v>0</v>
      </c>
      <c r="U359" s="42" t="n">
        <f aca="false">ROUND(AE359-K359,2)</f>
        <v>0</v>
      </c>
      <c r="V359" s="42" t="n">
        <f aca="false">ROUND(AF359-L359,2)</f>
        <v>0</v>
      </c>
      <c r="W359" s="42" t="n">
        <f aca="false">ROUND(AG359-M359,2)</f>
        <v>0</v>
      </c>
      <c r="X359" s="42" t="n">
        <f aca="false">ROUND(AH359-N359,2)</f>
        <v>0</v>
      </c>
      <c r="Y359" s="42" t="n">
        <f aca="false">ROUND(AI359-O359,2)</f>
        <v>0</v>
      </c>
      <c r="Z359" s="56" t="n">
        <f aca="false">ROUND(P358*(1+N(Debts!$D$5)/12),2)</f>
        <v>0</v>
      </c>
      <c r="AA359" s="56" t="n">
        <f aca="false">ROUND(Q358*(1+N(Debts!$D$6)/12),2)</f>
        <v>0</v>
      </c>
      <c r="AB359" s="56" t="n">
        <f aca="false">ROUND(R358*(1+N(Debts!$D$7)/12),2)</f>
        <v>0</v>
      </c>
      <c r="AC359" s="56" t="n">
        <f aca="false">ROUND(S358*(1+N(Debts!$D$8)/12),2)</f>
        <v>0</v>
      </c>
      <c r="AD359" s="56" t="n">
        <f aca="false">ROUND(T358*(1+N(Debts!$D$9)/12),2)</f>
        <v>0</v>
      </c>
      <c r="AE359" s="56" t="n">
        <f aca="false">ROUND(U358*(1+N(Debts!$D$10)/12),2)</f>
        <v>0</v>
      </c>
      <c r="AF359" s="56" t="n">
        <f aca="false">ROUND(V358*(1+N(Debts!$D$11)/12),2)</f>
        <v>0</v>
      </c>
      <c r="AG359" s="56" t="n">
        <f aca="false">ROUND(W358*(1+N(Debts!$D$12)/12),2)</f>
        <v>0</v>
      </c>
      <c r="AH359" s="56" t="n">
        <f aca="false">ROUND(X358*(1+N(Debts!$D$13)/12),2)</f>
        <v>0</v>
      </c>
      <c r="AI359" s="56" t="n">
        <f aca="false">ROUND(Y358*(1+N(Debts!$D$14)/12),2)</f>
        <v>0</v>
      </c>
      <c r="AJ359" s="56" t="n">
        <f aca="false">MIN(Z359,MAX(0,N(Debts!$E$5)))</f>
        <v>0</v>
      </c>
      <c r="AK359" s="56" t="n">
        <f aca="false">MIN(AA359,MAX(0,N(Debts!$E$6)))</f>
        <v>0</v>
      </c>
      <c r="AL359" s="56" t="n">
        <f aca="false">MIN(AB359,MAX(0,N(Debts!$E$7)))</f>
        <v>0</v>
      </c>
      <c r="AM359" s="56" t="n">
        <f aca="false">MIN(AC359,MAX(0,N(Debts!$E$8)))</f>
        <v>0</v>
      </c>
      <c r="AN359" s="56" t="n">
        <f aca="false">MIN(AD359,MAX(0,N(Debts!$E$9)))</f>
        <v>0</v>
      </c>
      <c r="AO359" s="56" t="n">
        <f aca="false">MIN(AE359,MAX(0,N(Debts!$E$10)))</f>
        <v>0</v>
      </c>
      <c r="AP359" s="56" t="n">
        <f aca="false">MIN(AF359,MAX(0,N(Debts!$E$11)))</f>
        <v>0</v>
      </c>
      <c r="AQ359" s="56" t="n">
        <f aca="false">MIN(AG359,MAX(0,N(Debts!$E$12)))</f>
        <v>0</v>
      </c>
      <c r="AR359" s="56" t="n">
        <f aca="false">MIN(AH359,MAX(0,N(Debts!$E$13)))</f>
        <v>0</v>
      </c>
      <c r="AS359" s="56" t="n">
        <f aca="false">MIN(AI359,MAX(0,N(Debts!$E$14)))</f>
        <v>0</v>
      </c>
    </row>
    <row r="360" customFormat="false" ht="15" hidden="false" customHeight="false" outlineLevel="0" collapsed="false">
      <c r="A360" s="53" t="n">
        <v>356</v>
      </c>
      <c r="B360" s="54" t="n">
        <f aca="false">EDATE('Start Here'!$B$8,355)</f>
        <v>57132</v>
      </c>
      <c r="C360" s="42" t="n">
        <f aca="false">SUM(F360:O360)</f>
        <v>0</v>
      </c>
      <c r="D360" s="42" t="n">
        <f aca="false">ROUND(SUM($Z360:$AI360)-SUM(P359:Y359),2)</f>
        <v>0</v>
      </c>
      <c r="E360" s="55" t="n">
        <f aca="false">SUM(P360:Y360)</f>
        <v>0</v>
      </c>
      <c r="F360" s="42" t="n">
        <f aca="false">AJ360+MIN(Z360-AJ360,MAX(0,'Start Here'!$B$10-SUM($AJ360:$AS360)-SUMPRODUCT(($Z$3:$AI$3&lt;Z$3)*($Z360:$AI360-$AJ360:$AS360))))</f>
        <v>0</v>
      </c>
      <c r="G360" s="42" t="n">
        <f aca="false">AK360+MIN(AA360-AK360,MAX(0,'Start Here'!$B$10-SUM($AJ360:$AS360)-SUMPRODUCT(($Z$3:$AI$3&lt;AA$3)*($Z360:$AI360-$AJ360:$AS360))))</f>
        <v>0</v>
      </c>
      <c r="H360" s="42" t="n">
        <f aca="false">AL360+MIN(AB360-AL360,MAX(0,'Start Here'!$B$10-SUM($AJ360:$AS360)-SUMPRODUCT(($Z$3:$AI$3&lt;AB$3)*($Z360:$AI360-$AJ360:$AS360))))</f>
        <v>0</v>
      </c>
      <c r="I360" s="42" t="n">
        <f aca="false">AM360+MIN(AC360-AM360,MAX(0,'Start Here'!$B$10-SUM($AJ360:$AS360)-SUMPRODUCT(($Z$3:$AI$3&lt;AC$3)*($Z360:$AI360-$AJ360:$AS360))))</f>
        <v>0</v>
      </c>
      <c r="J360" s="42" t="n">
        <f aca="false">AN360+MIN(AD360-AN360,MAX(0,'Start Here'!$B$10-SUM($AJ360:$AS360)-SUMPRODUCT(($Z$3:$AI$3&lt;AD$3)*($Z360:$AI360-$AJ360:$AS360))))</f>
        <v>0</v>
      </c>
      <c r="K360" s="42" t="n">
        <f aca="false">AO360+MIN(AE360-AO360,MAX(0,'Start Here'!$B$10-SUM($AJ360:$AS360)-SUMPRODUCT(($Z$3:$AI$3&lt;AE$3)*($Z360:$AI360-$AJ360:$AS360))))</f>
        <v>0</v>
      </c>
      <c r="L360" s="42" t="n">
        <f aca="false">AP360+MIN(AF360-AP360,MAX(0,'Start Here'!$B$10-SUM($AJ360:$AS360)-SUMPRODUCT(($Z$3:$AI$3&lt;AF$3)*($Z360:$AI360-$AJ360:$AS360))))</f>
        <v>0</v>
      </c>
      <c r="M360" s="42" t="n">
        <f aca="false">AQ360+MIN(AG360-AQ360,MAX(0,'Start Here'!$B$10-SUM($AJ360:$AS360)-SUMPRODUCT(($Z$3:$AI$3&lt;AG$3)*($Z360:$AI360-$AJ360:$AS360))))</f>
        <v>0</v>
      </c>
      <c r="N360" s="42" t="n">
        <f aca="false">AR360+MIN(AH360-AR360,MAX(0,'Start Here'!$B$10-SUM($AJ360:$AS360)-SUMPRODUCT(($Z$3:$AI$3&lt;AH$3)*($Z360:$AI360-$AJ360:$AS360))))</f>
        <v>0</v>
      </c>
      <c r="O360" s="42" t="n">
        <f aca="false">AS360+MIN(AI360-AS360,MAX(0,'Start Here'!$B$10-SUM($AJ360:$AS360)-SUMPRODUCT(($Z$3:$AI$3&lt;AI$3)*($Z360:$AI360-$AJ360:$AS360))))</f>
        <v>0</v>
      </c>
      <c r="P360" s="42" t="n">
        <f aca="false">ROUND(Z360-F360,2)</f>
        <v>0</v>
      </c>
      <c r="Q360" s="42" t="n">
        <f aca="false">ROUND(AA360-G360,2)</f>
        <v>0</v>
      </c>
      <c r="R360" s="42" t="n">
        <f aca="false">ROUND(AB360-H360,2)</f>
        <v>0</v>
      </c>
      <c r="S360" s="42" t="n">
        <f aca="false">ROUND(AC360-I360,2)</f>
        <v>0</v>
      </c>
      <c r="T360" s="42" t="n">
        <f aca="false">ROUND(AD360-J360,2)</f>
        <v>0</v>
      </c>
      <c r="U360" s="42" t="n">
        <f aca="false">ROUND(AE360-K360,2)</f>
        <v>0</v>
      </c>
      <c r="V360" s="42" t="n">
        <f aca="false">ROUND(AF360-L360,2)</f>
        <v>0</v>
      </c>
      <c r="W360" s="42" t="n">
        <f aca="false">ROUND(AG360-M360,2)</f>
        <v>0</v>
      </c>
      <c r="X360" s="42" t="n">
        <f aca="false">ROUND(AH360-N360,2)</f>
        <v>0</v>
      </c>
      <c r="Y360" s="42" t="n">
        <f aca="false">ROUND(AI360-O360,2)</f>
        <v>0</v>
      </c>
      <c r="Z360" s="56" t="n">
        <f aca="false">ROUND(P359*(1+N(Debts!$D$5)/12),2)</f>
        <v>0</v>
      </c>
      <c r="AA360" s="56" t="n">
        <f aca="false">ROUND(Q359*(1+N(Debts!$D$6)/12),2)</f>
        <v>0</v>
      </c>
      <c r="AB360" s="56" t="n">
        <f aca="false">ROUND(R359*(1+N(Debts!$D$7)/12),2)</f>
        <v>0</v>
      </c>
      <c r="AC360" s="56" t="n">
        <f aca="false">ROUND(S359*(1+N(Debts!$D$8)/12),2)</f>
        <v>0</v>
      </c>
      <c r="AD360" s="56" t="n">
        <f aca="false">ROUND(T359*(1+N(Debts!$D$9)/12),2)</f>
        <v>0</v>
      </c>
      <c r="AE360" s="56" t="n">
        <f aca="false">ROUND(U359*(1+N(Debts!$D$10)/12),2)</f>
        <v>0</v>
      </c>
      <c r="AF360" s="56" t="n">
        <f aca="false">ROUND(V359*(1+N(Debts!$D$11)/12),2)</f>
        <v>0</v>
      </c>
      <c r="AG360" s="56" t="n">
        <f aca="false">ROUND(W359*(1+N(Debts!$D$12)/12),2)</f>
        <v>0</v>
      </c>
      <c r="AH360" s="56" t="n">
        <f aca="false">ROUND(X359*(1+N(Debts!$D$13)/12),2)</f>
        <v>0</v>
      </c>
      <c r="AI360" s="56" t="n">
        <f aca="false">ROUND(Y359*(1+N(Debts!$D$14)/12),2)</f>
        <v>0</v>
      </c>
      <c r="AJ360" s="56" t="n">
        <f aca="false">MIN(Z360,MAX(0,N(Debts!$E$5)))</f>
        <v>0</v>
      </c>
      <c r="AK360" s="56" t="n">
        <f aca="false">MIN(AA360,MAX(0,N(Debts!$E$6)))</f>
        <v>0</v>
      </c>
      <c r="AL360" s="56" t="n">
        <f aca="false">MIN(AB360,MAX(0,N(Debts!$E$7)))</f>
        <v>0</v>
      </c>
      <c r="AM360" s="56" t="n">
        <f aca="false">MIN(AC360,MAX(0,N(Debts!$E$8)))</f>
        <v>0</v>
      </c>
      <c r="AN360" s="56" t="n">
        <f aca="false">MIN(AD360,MAX(0,N(Debts!$E$9)))</f>
        <v>0</v>
      </c>
      <c r="AO360" s="56" t="n">
        <f aca="false">MIN(AE360,MAX(0,N(Debts!$E$10)))</f>
        <v>0</v>
      </c>
      <c r="AP360" s="56" t="n">
        <f aca="false">MIN(AF360,MAX(0,N(Debts!$E$11)))</f>
        <v>0</v>
      </c>
      <c r="AQ360" s="56" t="n">
        <f aca="false">MIN(AG360,MAX(0,N(Debts!$E$12)))</f>
        <v>0</v>
      </c>
      <c r="AR360" s="56" t="n">
        <f aca="false">MIN(AH360,MAX(0,N(Debts!$E$13)))</f>
        <v>0</v>
      </c>
      <c r="AS360" s="56" t="n">
        <f aca="false">MIN(AI360,MAX(0,N(Debts!$E$14)))</f>
        <v>0</v>
      </c>
    </row>
    <row r="361" customFormat="false" ht="15" hidden="false" customHeight="false" outlineLevel="0" collapsed="false">
      <c r="A361" s="53" t="n">
        <v>357</v>
      </c>
      <c r="B361" s="54" t="n">
        <f aca="false">EDATE('Start Here'!$B$8,356)</f>
        <v>57162</v>
      </c>
      <c r="C361" s="42" t="n">
        <f aca="false">SUM(F361:O361)</f>
        <v>0</v>
      </c>
      <c r="D361" s="42" t="n">
        <f aca="false">ROUND(SUM($Z361:$AI361)-SUM(P360:Y360),2)</f>
        <v>0</v>
      </c>
      <c r="E361" s="55" t="n">
        <f aca="false">SUM(P361:Y361)</f>
        <v>0</v>
      </c>
      <c r="F361" s="42" t="n">
        <f aca="false">AJ361+MIN(Z361-AJ361,MAX(0,'Start Here'!$B$10-SUM($AJ361:$AS361)-SUMPRODUCT(($Z$3:$AI$3&lt;Z$3)*($Z361:$AI361-$AJ361:$AS361))))</f>
        <v>0</v>
      </c>
      <c r="G361" s="42" t="n">
        <f aca="false">AK361+MIN(AA361-AK361,MAX(0,'Start Here'!$B$10-SUM($AJ361:$AS361)-SUMPRODUCT(($Z$3:$AI$3&lt;AA$3)*($Z361:$AI361-$AJ361:$AS361))))</f>
        <v>0</v>
      </c>
      <c r="H361" s="42" t="n">
        <f aca="false">AL361+MIN(AB361-AL361,MAX(0,'Start Here'!$B$10-SUM($AJ361:$AS361)-SUMPRODUCT(($Z$3:$AI$3&lt;AB$3)*($Z361:$AI361-$AJ361:$AS361))))</f>
        <v>0</v>
      </c>
      <c r="I361" s="42" t="n">
        <f aca="false">AM361+MIN(AC361-AM361,MAX(0,'Start Here'!$B$10-SUM($AJ361:$AS361)-SUMPRODUCT(($Z$3:$AI$3&lt;AC$3)*($Z361:$AI361-$AJ361:$AS361))))</f>
        <v>0</v>
      </c>
      <c r="J361" s="42" t="n">
        <f aca="false">AN361+MIN(AD361-AN361,MAX(0,'Start Here'!$B$10-SUM($AJ361:$AS361)-SUMPRODUCT(($Z$3:$AI$3&lt;AD$3)*($Z361:$AI361-$AJ361:$AS361))))</f>
        <v>0</v>
      </c>
      <c r="K361" s="42" t="n">
        <f aca="false">AO361+MIN(AE361-AO361,MAX(0,'Start Here'!$B$10-SUM($AJ361:$AS361)-SUMPRODUCT(($Z$3:$AI$3&lt;AE$3)*($Z361:$AI361-$AJ361:$AS361))))</f>
        <v>0</v>
      </c>
      <c r="L361" s="42" t="n">
        <f aca="false">AP361+MIN(AF361-AP361,MAX(0,'Start Here'!$B$10-SUM($AJ361:$AS361)-SUMPRODUCT(($Z$3:$AI$3&lt;AF$3)*($Z361:$AI361-$AJ361:$AS361))))</f>
        <v>0</v>
      </c>
      <c r="M361" s="42" t="n">
        <f aca="false">AQ361+MIN(AG361-AQ361,MAX(0,'Start Here'!$B$10-SUM($AJ361:$AS361)-SUMPRODUCT(($Z$3:$AI$3&lt;AG$3)*($Z361:$AI361-$AJ361:$AS361))))</f>
        <v>0</v>
      </c>
      <c r="N361" s="42" t="n">
        <f aca="false">AR361+MIN(AH361-AR361,MAX(0,'Start Here'!$B$10-SUM($AJ361:$AS361)-SUMPRODUCT(($Z$3:$AI$3&lt;AH$3)*($Z361:$AI361-$AJ361:$AS361))))</f>
        <v>0</v>
      </c>
      <c r="O361" s="42" t="n">
        <f aca="false">AS361+MIN(AI361-AS361,MAX(0,'Start Here'!$B$10-SUM($AJ361:$AS361)-SUMPRODUCT(($Z$3:$AI$3&lt;AI$3)*($Z361:$AI361-$AJ361:$AS361))))</f>
        <v>0</v>
      </c>
      <c r="P361" s="42" t="n">
        <f aca="false">ROUND(Z361-F361,2)</f>
        <v>0</v>
      </c>
      <c r="Q361" s="42" t="n">
        <f aca="false">ROUND(AA361-G361,2)</f>
        <v>0</v>
      </c>
      <c r="R361" s="42" t="n">
        <f aca="false">ROUND(AB361-H361,2)</f>
        <v>0</v>
      </c>
      <c r="S361" s="42" t="n">
        <f aca="false">ROUND(AC361-I361,2)</f>
        <v>0</v>
      </c>
      <c r="T361" s="42" t="n">
        <f aca="false">ROUND(AD361-J361,2)</f>
        <v>0</v>
      </c>
      <c r="U361" s="42" t="n">
        <f aca="false">ROUND(AE361-K361,2)</f>
        <v>0</v>
      </c>
      <c r="V361" s="42" t="n">
        <f aca="false">ROUND(AF361-L361,2)</f>
        <v>0</v>
      </c>
      <c r="W361" s="42" t="n">
        <f aca="false">ROUND(AG361-M361,2)</f>
        <v>0</v>
      </c>
      <c r="X361" s="42" t="n">
        <f aca="false">ROUND(AH361-N361,2)</f>
        <v>0</v>
      </c>
      <c r="Y361" s="42" t="n">
        <f aca="false">ROUND(AI361-O361,2)</f>
        <v>0</v>
      </c>
      <c r="Z361" s="56" t="n">
        <f aca="false">ROUND(P360*(1+N(Debts!$D$5)/12),2)</f>
        <v>0</v>
      </c>
      <c r="AA361" s="56" t="n">
        <f aca="false">ROUND(Q360*(1+N(Debts!$D$6)/12),2)</f>
        <v>0</v>
      </c>
      <c r="AB361" s="56" t="n">
        <f aca="false">ROUND(R360*(1+N(Debts!$D$7)/12),2)</f>
        <v>0</v>
      </c>
      <c r="AC361" s="56" t="n">
        <f aca="false">ROUND(S360*(1+N(Debts!$D$8)/12),2)</f>
        <v>0</v>
      </c>
      <c r="AD361" s="56" t="n">
        <f aca="false">ROUND(T360*(1+N(Debts!$D$9)/12),2)</f>
        <v>0</v>
      </c>
      <c r="AE361" s="56" t="n">
        <f aca="false">ROUND(U360*(1+N(Debts!$D$10)/12),2)</f>
        <v>0</v>
      </c>
      <c r="AF361" s="56" t="n">
        <f aca="false">ROUND(V360*(1+N(Debts!$D$11)/12),2)</f>
        <v>0</v>
      </c>
      <c r="AG361" s="56" t="n">
        <f aca="false">ROUND(W360*(1+N(Debts!$D$12)/12),2)</f>
        <v>0</v>
      </c>
      <c r="AH361" s="56" t="n">
        <f aca="false">ROUND(X360*(1+N(Debts!$D$13)/12),2)</f>
        <v>0</v>
      </c>
      <c r="AI361" s="56" t="n">
        <f aca="false">ROUND(Y360*(1+N(Debts!$D$14)/12),2)</f>
        <v>0</v>
      </c>
      <c r="AJ361" s="56" t="n">
        <f aca="false">MIN(Z361,MAX(0,N(Debts!$E$5)))</f>
        <v>0</v>
      </c>
      <c r="AK361" s="56" t="n">
        <f aca="false">MIN(AA361,MAX(0,N(Debts!$E$6)))</f>
        <v>0</v>
      </c>
      <c r="AL361" s="56" t="n">
        <f aca="false">MIN(AB361,MAX(0,N(Debts!$E$7)))</f>
        <v>0</v>
      </c>
      <c r="AM361" s="56" t="n">
        <f aca="false">MIN(AC361,MAX(0,N(Debts!$E$8)))</f>
        <v>0</v>
      </c>
      <c r="AN361" s="56" t="n">
        <f aca="false">MIN(AD361,MAX(0,N(Debts!$E$9)))</f>
        <v>0</v>
      </c>
      <c r="AO361" s="56" t="n">
        <f aca="false">MIN(AE361,MAX(0,N(Debts!$E$10)))</f>
        <v>0</v>
      </c>
      <c r="AP361" s="56" t="n">
        <f aca="false">MIN(AF361,MAX(0,N(Debts!$E$11)))</f>
        <v>0</v>
      </c>
      <c r="AQ361" s="56" t="n">
        <f aca="false">MIN(AG361,MAX(0,N(Debts!$E$12)))</f>
        <v>0</v>
      </c>
      <c r="AR361" s="56" t="n">
        <f aca="false">MIN(AH361,MAX(0,N(Debts!$E$13)))</f>
        <v>0</v>
      </c>
      <c r="AS361" s="56" t="n">
        <f aca="false">MIN(AI361,MAX(0,N(Debts!$E$14)))</f>
        <v>0</v>
      </c>
    </row>
    <row r="362" customFormat="false" ht="15" hidden="false" customHeight="false" outlineLevel="0" collapsed="false">
      <c r="A362" s="53" t="n">
        <v>358</v>
      </c>
      <c r="B362" s="54" t="n">
        <f aca="false">EDATE('Start Here'!$B$8,357)</f>
        <v>57193</v>
      </c>
      <c r="C362" s="42" t="n">
        <f aca="false">SUM(F362:O362)</f>
        <v>0</v>
      </c>
      <c r="D362" s="42" t="n">
        <f aca="false">ROUND(SUM($Z362:$AI362)-SUM(P361:Y361),2)</f>
        <v>0</v>
      </c>
      <c r="E362" s="55" t="n">
        <f aca="false">SUM(P362:Y362)</f>
        <v>0</v>
      </c>
      <c r="F362" s="42" t="n">
        <f aca="false">AJ362+MIN(Z362-AJ362,MAX(0,'Start Here'!$B$10-SUM($AJ362:$AS362)-SUMPRODUCT(($Z$3:$AI$3&lt;Z$3)*($Z362:$AI362-$AJ362:$AS362))))</f>
        <v>0</v>
      </c>
      <c r="G362" s="42" t="n">
        <f aca="false">AK362+MIN(AA362-AK362,MAX(0,'Start Here'!$B$10-SUM($AJ362:$AS362)-SUMPRODUCT(($Z$3:$AI$3&lt;AA$3)*($Z362:$AI362-$AJ362:$AS362))))</f>
        <v>0</v>
      </c>
      <c r="H362" s="42" t="n">
        <f aca="false">AL362+MIN(AB362-AL362,MAX(0,'Start Here'!$B$10-SUM($AJ362:$AS362)-SUMPRODUCT(($Z$3:$AI$3&lt;AB$3)*($Z362:$AI362-$AJ362:$AS362))))</f>
        <v>0</v>
      </c>
      <c r="I362" s="42" t="n">
        <f aca="false">AM362+MIN(AC362-AM362,MAX(0,'Start Here'!$B$10-SUM($AJ362:$AS362)-SUMPRODUCT(($Z$3:$AI$3&lt;AC$3)*($Z362:$AI362-$AJ362:$AS362))))</f>
        <v>0</v>
      </c>
      <c r="J362" s="42" t="n">
        <f aca="false">AN362+MIN(AD362-AN362,MAX(0,'Start Here'!$B$10-SUM($AJ362:$AS362)-SUMPRODUCT(($Z$3:$AI$3&lt;AD$3)*($Z362:$AI362-$AJ362:$AS362))))</f>
        <v>0</v>
      </c>
      <c r="K362" s="42" t="n">
        <f aca="false">AO362+MIN(AE362-AO362,MAX(0,'Start Here'!$B$10-SUM($AJ362:$AS362)-SUMPRODUCT(($Z$3:$AI$3&lt;AE$3)*($Z362:$AI362-$AJ362:$AS362))))</f>
        <v>0</v>
      </c>
      <c r="L362" s="42" t="n">
        <f aca="false">AP362+MIN(AF362-AP362,MAX(0,'Start Here'!$B$10-SUM($AJ362:$AS362)-SUMPRODUCT(($Z$3:$AI$3&lt;AF$3)*($Z362:$AI362-$AJ362:$AS362))))</f>
        <v>0</v>
      </c>
      <c r="M362" s="42" t="n">
        <f aca="false">AQ362+MIN(AG362-AQ362,MAX(0,'Start Here'!$B$10-SUM($AJ362:$AS362)-SUMPRODUCT(($Z$3:$AI$3&lt;AG$3)*($Z362:$AI362-$AJ362:$AS362))))</f>
        <v>0</v>
      </c>
      <c r="N362" s="42" t="n">
        <f aca="false">AR362+MIN(AH362-AR362,MAX(0,'Start Here'!$B$10-SUM($AJ362:$AS362)-SUMPRODUCT(($Z$3:$AI$3&lt;AH$3)*($Z362:$AI362-$AJ362:$AS362))))</f>
        <v>0</v>
      </c>
      <c r="O362" s="42" t="n">
        <f aca="false">AS362+MIN(AI362-AS362,MAX(0,'Start Here'!$B$10-SUM($AJ362:$AS362)-SUMPRODUCT(($Z$3:$AI$3&lt;AI$3)*($Z362:$AI362-$AJ362:$AS362))))</f>
        <v>0</v>
      </c>
      <c r="P362" s="42" t="n">
        <f aca="false">ROUND(Z362-F362,2)</f>
        <v>0</v>
      </c>
      <c r="Q362" s="42" t="n">
        <f aca="false">ROUND(AA362-G362,2)</f>
        <v>0</v>
      </c>
      <c r="R362" s="42" t="n">
        <f aca="false">ROUND(AB362-H362,2)</f>
        <v>0</v>
      </c>
      <c r="S362" s="42" t="n">
        <f aca="false">ROUND(AC362-I362,2)</f>
        <v>0</v>
      </c>
      <c r="T362" s="42" t="n">
        <f aca="false">ROUND(AD362-J362,2)</f>
        <v>0</v>
      </c>
      <c r="U362" s="42" t="n">
        <f aca="false">ROUND(AE362-K362,2)</f>
        <v>0</v>
      </c>
      <c r="V362" s="42" t="n">
        <f aca="false">ROUND(AF362-L362,2)</f>
        <v>0</v>
      </c>
      <c r="W362" s="42" t="n">
        <f aca="false">ROUND(AG362-M362,2)</f>
        <v>0</v>
      </c>
      <c r="X362" s="42" t="n">
        <f aca="false">ROUND(AH362-N362,2)</f>
        <v>0</v>
      </c>
      <c r="Y362" s="42" t="n">
        <f aca="false">ROUND(AI362-O362,2)</f>
        <v>0</v>
      </c>
      <c r="Z362" s="56" t="n">
        <f aca="false">ROUND(P361*(1+N(Debts!$D$5)/12),2)</f>
        <v>0</v>
      </c>
      <c r="AA362" s="56" t="n">
        <f aca="false">ROUND(Q361*(1+N(Debts!$D$6)/12),2)</f>
        <v>0</v>
      </c>
      <c r="AB362" s="56" t="n">
        <f aca="false">ROUND(R361*(1+N(Debts!$D$7)/12),2)</f>
        <v>0</v>
      </c>
      <c r="AC362" s="56" t="n">
        <f aca="false">ROUND(S361*(1+N(Debts!$D$8)/12),2)</f>
        <v>0</v>
      </c>
      <c r="AD362" s="56" t="n">
        <f aca="false">ROUND(T361*(1+N(Debts!$D$9)/12),2)</f>
        <v>0</v>
      </c>
      <c r="AE362" s="56" t="n">
        <f aca="false">ROUND(U361*(1+N(Debts!$D$10)/12),2)</f>
        <v>0</v>
      </c>
      <c r="AF362" s="56" t="n">
        <f aca="false">ROUND(V361*(1+N(Debts!$D$11)/12),2)</f>
        <v>0</v>
      </c>
      <c r="AG362" s="56" t="n">
        <f aca="false">ROUND(W361*(1+N(Debts!$D$12)/12),2)</f>
        <v>0</v>
      </c>
      <c r="AH362" s="56" t="n">
        <f aca="false">ROUND(X361*(1+N(Debts!$D$13)/12),2)</f>
        <v>0</v>
      </c>
      <c r="AI362" s="56" t="n">
        <f aca="false">ROUND(Y361*(1+N(Debts!$D$14)/12),2)</f>
        <v>0</v>
      </c>
      <c r="AJ362" s="56" t="n">
        <f aca="false">MIN(Z362,MAX(0,N(Debts!$E$5)))</f>
        <v>0</v>
      </c>
      <c r="AK362" s="56" t="n">
        <f aca="false">MIN(AA362,MAX(0,N(Debts!$E$6)))</f>
        <v>0</v>
      </c>
      <c r="AL362" s="56" t="n">
        <f aca="false">MIN(AB362,MAX(0,N(Debts!$E$7)))</f>
        <v>0</v>
      </c>
      <c r="AM362" s="56" t="n">
        <f aca="false">MIN(AC362,MAX(0,N(Debts!$E$8)))</f>
        <v>0</v>
      </c>
      <c r="AN362" s="56" t="n">
        <f aca="false">MIN(AD362,MAX(0,N(Debts!$E$9)))</f>
        <v>0</v>
      </c>
      <c r="AO362" s="56" t="n">
        <f aca="false">MIN(AE362,MAX(0,N(Debts!$E$10)))</f>
        <v>0</v>
      </c>
      <c r="AP362" s="56" t="n">
        <f aca="false">MIN(AF362,MAX(0,N(Debts!$E$11)))</f>
        <v>0</v>
      </c>
      <c r="AQ362" s="56" t="n">
        <f aca="false">MIN(AG362,MAX(0,N(Debts!$E$12)))</f>
        <v>0</v>
      </c>
      <c r="AR362" s="56" t="n">
        <f aca="false">MIN(AH362,MAX(0,N(Debts!$E$13)))</f>
        <v>0</v>
      </c>
      <c r="AS362" s="56" t="n">
        <f aca="false">MIN(AI362,MAX(0,N(Debts!$E$14)))</f>
        <v>0</v>
      </c>
    </row>
    <row r="363" customFormat="false" ht="15" hidden="false" customHeight="false" outlineLevel="0" collapsed="false">
      <c r="A363" s="53" t="n">
        <v>359</v>
      </c>
      <c r="B363" s="54" t="n">
        <f aca="false">EDATE('Start Here'!$B$8,358)</f>
        <v>57224</v>
      </c>
      <c r="C363" s="42" t="n">
        <f aca="false">SUM(F363:O363)</f>
        <v>0</v>
      </c>
      <c r="D363" s="42" t="n">
        <f aca="false">ROUND(SUM($Z363:$AI363)-SUM(P362:Y362),2)</f>
        <v>0</v>
      </c>
      <c r="E363" s="55" t="n">
        <f aca="false">SUM(P363:Y363)</f>
        <v>0</v>
      </c>
      <c r="F363" s="42" t="n">
        <f aca="false">AJ363+MIN(Z363-AJ363,MAX(0,'Start Here'!$B$10-SUM($AJ363:$AS363)-SUMPRODUCT(($Z$3:$AI$3&lt;Z$3)*($Z363:$AI363-$AJ363:$AS363))))</f>
        <v>0</v>
      </c>
      <c r="G363" s="42" t="n">
        <f aca="false">AK363+MIN(AA363-AK363,MAX(0,'Start Here'!$B$10-SUM($AJ363:$AS363)-SUMPRODUCT(($Z$3:$AI$3&lt;AA$3)*($Z363:$AI363-$AJ363:$AS363))))</f>
        <v>0</v>
      </c>
      <c r="H363" s="42" t="n">
        <f aca="false">AL363+MIN(AB363-AL363,MAX(0,'Start Here'!$B$10-SUM($AJ363:$AS363)-SUMPRODUCT(($Z$3:$AI$3&lt;AB$3)*($Z363:$AI363-$AJ363:$AS363))))</f>
        <v>0</v>
      </c>
      <c r="I363" s="42" t="n">
        <f aca="false">AM363+MIN(AC363-AM363,MAX(0,'Start Here'!$B$10-SUM($AJ363:$AS363)-SUMPRODUCT(($Z$3:$AI$3&lt;AC$3)*($Z363:$AI363-$AJ363:$AS363))))</f>
        <v>0</v>
      </c>
      <c r="J363" s="42" t="n">
        <f aca="false">AN363+MIN(AD363-AN363,MAX(0,'Start Here'!$B$10-SUM($AJ363:$AS363)-SUMPRODUCT(($Z$3:$AI$3&lt;AD$3)*($Z363:$AI363-$AJ363:$AS363))))</f>
        <v>0</v>
      </c>
      <c r="K363" s="42" t="n">
        <f aca="false">AO363+MIN(AE363-AO363,MAX(0,'Start Here'!$B$10-SUM($AJ363:$AS363)-SUMPRODUCT(($Z$3:$AI$3&lt;AE$3)*($Z363:$AI363-$AJ363:$AS363))))</f>
        <v>0</v>
      </c>
      <c r="L363" s="42" t="n">
        <f aca="false">AP363+MIN(AF363-AP363,MAX(0,'Start Here'!$B$10-SUM($AJ363:$AS363)-SUMPRODUCT(($Z$3:$AI$3&lt;AF$3)*($Z363:$AI363-$AJ363:$AS363))))</f>
        <v>0</v>
      </c>
      <c r="M363" s="42" t="n">
        <f aca="false">AQ363+MIN(AG363-AQ363,MAX(0,'Start Here'!$B$10-SUM($AJ363:$AS363)-SUMPRODUCT(($Z$3:$AI$3&lt;AG$3)*($Z363:$AI363-$AJ363:$AS363))))</f>
        <v>0</v>
      </c>
      <c r="N363" s="42" t="n">
        <f aca="false">AR363+MIN(AH363-AR363,MAX(0,'Start Here'!$B$10-SUM($AJ363:$AS363)-SUMPRODUCT(($Z$3:$AI$3&lt;AH$3)*($Z363:$AI363-$AJ363:$AS363))))</f>
        <v>0</v>
      </c>
      <c r="O363" s="42" t="n">
        <f aca="false">AS363+MIN(AI363-AS363,MAX(0,'Start Here'!$B$10-SUM($AJ363:$AS363)-SUMPRODUCT(($Z$3:$AI$3&lt;AI$3)*($Z363:$AI363-$AJ363:$AS363))))</f>
        <v>0</v>
      </c>
      <c r="P363" s="42" t="n">
        <f aca="false">ROUND(Z363-F363,2)</f>
        <v>0</v>
      </c>
      <c r="Q363" s="42" t="n">
        <f aca="false">ROUND(AA363-G363,2)</f>
        <v>0</v>
      </c>
      <c r="R363" s="42" t="n">
        <f aca="false">ROUND(AB363-H363,2)</f>
        <v>0</v>
      </c>
      <c r="S363" s="42" t="n">
        <f aca="false">ROUND(AC363-I363,2)</f>
        <v>0</v>
      </c>
      <c r="T363" s="42" t="n">
        <f aca="false">ROUND(AD363-J363,2)</f>
        <v>0</v>
      </c>
      <c r="U363" s="42" t="n">
        <f aca="false">ROUND(AE363-K363,2)</f>
        <v>0</v>
      </c>
      <c r="V363" s="42" t="n">
        <f aca="false">ROUND(AF363-L363,2)</f>
        <v>0</v>
      </c>
      <c r="W363" s="42" t="n">
        <f aca="false">ROUND(AG363-M363,2)</f>
        <v>0</v>
      </c>
      <c r="X363" s="42" t="n">
        <f aca="false">ROUND(AH363-N363,2)</f>
        <v>0</v>
      </c>
      <c r="Y363" s="42" t="n">
        <f aca="false">ROUND(AI363-O363,2)</f>
        <v>0</v>
      </c>
      <c r="Z363" s="56" t="n">
        <f aca="false">ROUND(P362*(1+N(Debts!$D$5)/12),2)</f>
        <v>0</v>
      </c>
      <c r="AA363" s="56" t="n">
        <f aca="false">ROUND(Q362*(1+N(Debts!$D$6)/12),2)</f>
        <v>0</v>
      </c>
      <c r="AB363" s="56" t="n">
        <f aca="false">ROUND(R362*(1+N(Debts!$D$7)/12),2)</f>
        <v>0</v>
      </c>
      <c r="AC363" s="56" t="n">
        <f aca="false">ROUND(S362*(1+N(Debts!$D$8)/12),2)</f>
        <v>0</v>
      </c>
      <c r="AD363" s="56" t="n">
        <f aca="false">ROUND(T362*(1+N(Debts!$D$9)/12),2)</f>
        <v>0</v>
      </c>
      <c r="AE363" s="56" t="n">
        <f aca="false">ROUND(U362*(1+N(Debts!$D$10)/12),2)</f>
        <v>0</v>
      </c>
      <c r="AF363" s="56" t="n">
        <f aca="false">ROUND(V362*(1+N(Debts!$D$11)/12),2)</f>
        <v>0</v>
      </c>
      <c r="AG363" s="56" t="n">
        <f aca="false">ROUND(W362*(1+N(Debts!$D$12)/12),2)</f>
        <v>0</v>
      </c>
      <c r="AH363" s="56" t="n">
        <f aca="false">ROUND(X362*(1+N(Debts!$D$13)/12),2)</f>
        <v>0</v>
      </c>
      <c r="AI363" s="56" t="n">
        <f aca="false">ROUND(Y362*(1+N(Debts!$D$14)/12),2)</f>
        <v>0</v>
      </c>
      <c r="AJ363" s="56" t="n">
        <f aca="false">MIN(Z363,MAX(0,N(Debts!$E$5)))</f>
        <v>0</v>
      </c>
      <c r="AK363" s="56" t="n">
        <f aca="false">MIN(AA363,MAX(0,N(Debts!$E$6)))</f>
        <v>0</v>
      </c>
      <c r="AL363" s="56" t="n">
        <f aca="false">MIN(AB363,MAX(0,N(Debts!$E$7)))</f>
        <v>0</v>
      </c>
      <c r="AM363" s="56" t="n">
        <f aca="false">MIN(AC363,MAX(0,N(Debts!$E$8)))</f>
        <v>0</v>
      </c>
      <c r="AN363" s="56" t="n">
        <f aca="false">MIN(AD363,MAX(0,N(Debts!$E$9)))</f>
        <v>0</v>
      </c>
      <c r="AO363" s="56" t="n">
        <f aca="false">MIN(AE363,MAX(0,N(Debts!$E$10)))</f>
        <v>0</v>
      </c>
      <c r="AP363" s="56" t="n">
        <f aca="false">MIN(AF363,MAX(0,N(Debts!$E$11)))</f>
        <v>0</v>
      </c>
      <c r="AQ363" s="56" t="n">
        <f aca="false">MIN(AG363,MAX(0,N(Debts!$E$12)))</f>
        <v>0</v>
      </c>
      <c r="AR363" s="56" t="n">
        <f aca="false">MIN(AH363,MAX(0,N(Debts!$E$13)))</f>
        <v>0</v>
      </c>
      <c r="AS363" s="56" t="n">
        <f aca="false">MIN(AI363,MAX(0,N(Debts!$E$14)))</f>
        <v>0</v>
      </c>
    </row>
    <row r="364" customFormat="false" ht="15" hidden="false" customHeight="false" outlineLevel="0" collapsed="false">
      <c r="A364" s="53" t="n">
        <v>360</v>
      </c>
      <c r="B364" s="54" t="n">
        <f aca="false">EDATE('Start Here'!$B$8,359)</f>
        <v>57254</v>
      </c>
      <c r="C364" s="42" t="n">
        <f aca="false">SUM(F364:O364)</f>
        <v>0</v>
      </c>
      <c r="D364" s="42" t="n">
        <f aca="false">ROUND(SUM($Z364:$AI364)-SUM(P363:Y363),2)</f>
        <v>0</v>
      </c>
      <c r="E364" s="55" t="n">
        <f aca="false">SUM(P364:Y364)</f>
        <v>0</v>
      </c>
      <c r="F364" s="42" t="n">
        <f aca="false">AJ364+MIN(Z364-AJ364,MAX(0,'Start Here'!$B$10-SUM($AJ364:$AS364)-SUMPRODUCT(($Z$3:$AI$3&lt;Z$3)*($Z364:$AI364-$AJ364:$AS364))))</f>
        <v>0</v>
      </c>
      <c r="G364" s="42" t="n">
        <f aca="false">AK364+MIN(AA364-AK364,MAX(0,'Start Here'!$B$10-SUM($AJ364:$AS364)-SUMPRODUCT(($Z$3:$AI$3&lt;AA$3)*($Z364:$AI364-$AJ364:$AS364))))</f>
        <v>0</v>
      </c>
      <c r="H364" s="42" t="n">
        <f aca="false">AL364+MIN(AB364-AL364,MAX(0,'Start Here'!$B$10-SUM($AJ364:$AS364)-SUMPRODUCT(($Z$3:$AI$3&lt;AB$3)*($Z364:$AI364-$AJ364:$AS364))))</f>
        <v>0</v>
      </c>
      <c r="I364" s="42" t="n">
        <f aca="false">AM364+MIN(AC364-AM364,MAX(0,'Start Here'!$B$10-SUM($AJ364:$AS364)-SUMPRODUCT(($Z$3:$AI$3&lt;AC$3)*($Z364:$AI364-$AJ364:$AS364))))</f>
        <v>0</v>
      </c>
      <c r="J364" s="42" t="n">
        <f aca="false">AN364+MIN(AD364-AN364,MAX(0,'Start Here'!$B$10-SUM($AJ364:$AS364)-SUMPRODUCT(($Z$3:$AI$3&lt;AD$3)*($Z364:$AI364-$AJ364:$AS364))))</f>
        <v>0</v>
      </c>
      <c r="K364" s="42" t="n">
        <f aca="false">AO364+MIN(AE364-AO364,MAX(0,'Start Here'!$B$10-SUM($AJ364:$AS364)-SUMPRODUCT(($Z$3:$AI$3&lt;AE$3)*($Z364:$AI364-$AJ364:$AS364))))</f>
        <v>0</v>
      </c>
      <c r="L364" s="42" t="n">
        <f aca="false">AP364+MIN(AF364-AP364,MAX(0,'Start Here'!$B$10-SUM($AJ364:$AS364)-SUMPRODUCT(($Z$3:$AI$3&lt;AF$3)*($Z364:$AI364-$AJ364:$AS364))))</f>
        <v>0</v>
      </c>
      <c r="M364" s="42" t="n">
        <f aca="false">AQ364+MIN(AG364-AQ364,MAX(0,'Start Here'!$B$10-SUM($AJ364:$AS364)-SUMPRODUCT(($Z$3:$AI$3&lt;AG$3)*($Z364:$AI364-$AJ364:$AS364))))</f>
        <v>0</v>
      </c>
      <c r="N364" s="42" t="n">
        <f aca="false">AR364+MIN(AH364-AR364,MAX(0,'Start Here'!$B$10-SUM($AJ364:$AS364)-SUMPRODUCT(($Z$3:$AI$3&lt;AH$3)*($Z364:$AI364-$AJ364:$AS364))))</f>
        <v>0</v>
      </c>
      <c r="O364" s="42" t="n">
        <f aca="false">AS364+MIN(AI364-AS364,MAX(0,'Start Here'!$B$10-SUM($AJ364:$AS364)-SUMPRODUCT(($Z$3:$AI$3&lt;AI$3)*($Z364:$AI364-$AJ364:$AS364))))</f>
        <v>0</v>
      </c>
      <c r="P364" s="42" t="n">
        <f aca="false">ROUND(Z364-F364,2)</f>
        <v>0</v>
      </c>
      <c r="Q364" s="42" t="n">
        <f aca="false">ROUND(AA364-G364,2)</f>
        <v>0</v>
      </c>
      <c r="R364" s="42" t="n">
        <f aca="false">ROUND(AB364-H364,2)</f>
        <v>0</v>
      </c>
      <c r="S364" s="42" t="n">
        <f aca="false">ROUND(AC364-I364,2)</f>
        <v>0</v>
      </c>
      <c r="T364" s="42" t="n">
        <f aca="false">ROUND(AD364-J364,2)</f>
        <v>0</v>
      </c>
      <c r="U364" s="42" t="n">
        <f aca="false">ROUND(AE364-K364,2)</f>
        <v>0</v>
      </c>
      <c r="V364" s="42" t="n">
        <f aca="false">ROUND(AF364-L364,2)</f>
        <v>0</v>
      </c>
      <c r="W364" s="42" t="n">
        <f aca="false">ROUND(AG364-M364,2)</f>
        <v>0</v>
      </c>
      <c r="X364" s="42" t="n">
        <f aca="false">ROUND(AH364-N364,2)</f>
        <v>0</v>
      </c>
      <c r="Y364" s="42" t="n">
        <f aca="false">ROUND(AI364-O364,2)</f>
        <v>0</v>
      </c>
      <c r="Z364" s="56" t="n">
        <f aca="false">ROUND(P363*(1+N(Debts!$D$5)/12),2)</f>
        <v>0</v>
      </c>
      <c r="AA364" s="56" t="n">
        <f aca="false">ROUND(Q363*(1+N(Debts!$D$6)/12),2)</f>
        <v>0</v>
      </c>
      <c r="AB364" s="56" t="n">
        <f aca="false">ROUND(R363*(1+N(Debts!$D$7)/12),2)</f>
        <v>0</v>
      </c>
      <c r="AC364" s="56" t="n">
        <f aca="false">ROUND(S363*(1+N(Debts!$D$8)/12),2)</f>
        <v>0</v>
      </c>
      <c r="AD364" s="56" t="n">
        <f aca="false">ROUND(T363*(1+N(Debts!$D$9)/12),2)</f>
        <v>0</v>
      </c>
      <c r="AE364" s="56" t="n">
        <f aca="false">ROUND(U363*(1+N(Debts!$D$10)/12),2)</f>
        <v>0</v>
      </c>
      <c r="AF364" s="56" t="n">
        <f aca="false">ROUND(V363*(1+N(Debts!$D$11)/12),2)</f>
        <v>0</v>
      </c>
      <c r="AG364" s="56" t="n">
        <f aca="false">ROUND(W363*(1+N(Debts!$D$12)/12),2)</f>
        <v>0</v>
      </c>
      <c r="AH364" s="56" t="n">
        <f aca="false">ROUND(X363*(1+N(Debts!$D$13)/12),2)</f>
        <v>0</v>
      </c>
      <c r="AI364" s="56" t="n">
        <f aca="false">ROUND(Y363*(1+N(Debts!$D$14)/12),2)</f>
        <v>0</v>
      </c>
      <c r="AJ364" s="56" t="n">
        <f aca="false">MIN(Z364,MAX(0,N(Debts!$E$5)))</f>
        <v>0</v>
      </c>
      <c r="AK364" s="56" t="n">
        <f aca="false">MIN(AA364,MAX(0,N(Debts!$E$6)))</f>
        <v>0</v>
      </c>
      <c r="AL364" s="56" t="n">
        <f aca="false">MIN(AB364,MAX(0,N(Debts!$E$7)))</f>
        <v>0</v>
      </c>
      <c r="AM364" s="56" t="n">
        <f aca="false">MIN(AC364,MAX(0,N(Debts!$E$8)))</f>
        <v>0</v>
      </c>
      <c r="AN364" s="56" t="n">
        <f aca="false">MIN(AD364,MAX(0,N(Debts!$E$9)))</f>
        <v>0</v>
      </c>
      <c r="AO364" s="56" t="n">
        <f aca="false">MIN(AE364,MAX(0,N(Debts!$E$10)))</f>
        <v>0</v>
      </c>
      <c r="AP364" s="56" t="n">
        <f aca="false">MIN(AF364,MAX(0,N(Debts!$E$11)))</f>
        <v>0</v>
      </c>
      <c r="AQ364" s="56" t="n">
        <f aca="false">MIN(AG364,MAX(0,N(Debts!$E$12)))</f>
        <v>0</v>
      </c>
      <c r="AR364" s="56" t="n">
        <f aca="false">MIN(AH364,MAX(0,N(Debts!$E$13)))</f>
        <v>0</v>
      </c>
      <c r="AS364" s="56" t="n">
        <f aca="false">MIN(AI364,MAX(0,N(Debts!$E$14)))</f>
        <v>0</v>
      </c>
    </row>
  </sheetData>
  <conditionalFormatting sqref="A6:E364">
    <cfRule type="expression" priority="2" aboveAverage="0" equalAverage="0" bottom="0" percent="0" rank="0" text="" dxfId="2">
      <formula>AND($E6&lt;=0.005,$E5&gt;0.005)</formula>
    </cfRule>
  </conditionalFormatting>
  <conditionalFormatting sqref="P5:Y364">
    <cfRule type="expression" priority="3" aboveAverage="0" equalAverage="0" bottom="0" percent="0" rank="0" text="" dxfId="2">
      <formula>AND(P5&lt;=0.005,Z5&gt;0.005)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AS3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25" min="6" style="0" width="12"/>
    <col collapsed="false" customWidth="true" hidden="false" outlineLevel="0" max="45" min="26" style="0" width="11"/>
  </cols>
  <sheetData>
    <row r="1" customFormat="false" ht="33.75" hidden="false" customHeight="true" outlineLevel="0" collapsed="false">
      <c r="A1" s="1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customFormat="false" ht="21.75" hidden="false" customHeight="true" outlineLevel="0" collapsed="false">
      <c r="A2" s="32" t="s">
        <v>85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customFormat="false" ht="18" hidden="false" customHeight="true" outlineLevel="0" collapsed="false">
      <c r="F3" s="48" t="n">
        <f aca="false">IF(Debts!$G$5="","",Debts!$G$5)</f>
        <v>1</v>
      </c>
      <c r="G3" s="48" t="n">
        <f aca="false">IF(Debts!$G$6="","",Debts!$G$6)</f>
        <v>2</v>
      </c>
      <c r="H3" s="48" t="n">
        <f aca="false">IF(Debts!$G$7="","",Debts!$G$7)</f>
        <v>4</v>
      </c>
      <c r="I3" s="48" t="n">
        <f aca="false">IF(Debts!$G$8="","",Debts!$G$8)</f>
        <v>3</v>
      </c>
      <c r="J3" s="48" t="n">
        <f aca="false">IF(Debts!$G$9="","",Debts!$G$9)</f>
        <v>6</v>
      </c>
      <c r="K3" s="48" t="n">
        <f aca="false">IF(Debts!$G$10="","",Debts!$G$10)</f>
        <v>5</v>
      </c>
      <c r="L3" s="48" t="str">
        <f aca="false">IF(Debts!$G$11="","",Debts!$G$11)</f>
        <v/>
      </c>
      <c r="M3" s="48" t="str">
        <f aca="false">IF(Debts!$G$12="","",Debts!$G$12)</f>
        <v/>
      </c>
      <c r="N3" s="48" t="str">
        <f aca="false">IF(Debts!$G$13="","",Debts!$G$13)</f>
        <v/>
      </c>
      <c r="O3" s="48" t="str">
        <f aca="false">IF(Debts!$G$14="","",Debts!$G$14)</f>
        <v/>
      </c>
      <c r="P3" s="49" t="n">
        <f aca="false">IF(N(Debts!$C$5)&lt;=0,"",IF(COUNTIF(P$5:P$364,"&gt;0.005")&gt;=360,"Over 30 yrs",COUNTIF(P$5:P$364,"&gt;0.005")+1))</f>
        <v>4</v>
      </c>
      <c r="Q3" s="49" t="n">
        <f aca="false">IF(N(Debts!$C$6)&lt;=0,"",IF(COUNTIF(Q$5:Q$364,"&gt;0.005")&gt;=360,"Over 30 yrs",COUNTIF(Q$5:Q$364,"&gt;0.005")+1))</f>
        <v>19</v>
      </c>
      <c r="R3" s="49" t="n">
        <f aca="false">IF(N(Debts!$C$7)&lt;=0,"",IF(COUNTIF(R$5:R$364,"&gt;0.005")&gt;=360,"Over 30 yrs",COUNTIF(R$5:R$364,"&gt;0.005")+1))</f>
        <v>30</v>
      </c>
      <c r="S3" s="49" t="n">
        <f aca="false">IF(N(Debts!$C$8)&lt;=0,"",IF(COUNTIF(S$5:S$364,"&gt;0.005")&gt;=360,"Over 30 yrs",COUNTIF(S$5:S$364,"&gt;0.005")+1))</f>
        <v>22</v>
      </c>
      <c r="T3" s="49" t="n">
        <f aca="false">IF(N(Debts!$C$9)&lt;=0,"",IF(COUNTIF(T$5:T$364,"&gt;0.005")&gt;=360,"Over 30 yrs",COUNTIF(T$5:T$364,"&gt;0.005")+1))</f>
        <v>18</v>
      </c>
      <c r="U3" s="49" t="n">
        <f aca="false">IF(N(Debts!$C$10)&lt;=0,"",IF(COUNTIF(U$5:U$364,"&gt;0.005")&gt;=360,"Over 30 yrs",COUNTIF(U$5:U$364,"&gt;0.005")+1))</f>
        <v>42</v>
      </c>
      <c r="V3" s="49" t="str">
        <f aca="false">IF(N(Debts!$C$11)&lt;=0,"",IF(COUNTIF(V$5:V$364,"&gt;0.005")&gt;=360,"Over 30 yrs",COUNTIF(V$5:V$364,"&gt;0.005")+1))</f>
        <v/>
      </c>
      <c r="W3" s="49" t="str">
        <f aca="false">IF(N(Debts!$C$12)&lt;=0,"",IF(COUNTIF(W$5:W$364,"&gt;0.005")&gt;=360,"Over 30 yrs",COUNTIF(W$5:W$364,"&gt;0.005")+1))</f>
        <v/>
      </c>
      <c r="X3" s="49" t="str">
        <f aca="false">IF(N(Debts!$C$13)&lt;=0,"",IF(COUNTIF(X$5:X$364,"&gt;0.005")&gt;=360,"Over 30 yrs",COUNTIF(X$5:X$364,"&gt;0.005")+1))</f>
        <v/>
      </c>
      <c r="Y3" s="49" t="str">
        <f aca="false">IF(N(Debts!$C$14)&lt;=0,"",IF(COUNTIF(Y$5:Y$364,"&gt;0.005")&gt;=360,"Over 30 yrs",COUNTIF(Y$5:Y$364,"&gt;0.005")+1))</f>
        <v/>
      </c>
      <c r="Z3" s="50" t="n">
        <f aca="false">IF(Debts!$G$5="",99,Debts!$G$5)</f>
        <v>1</v>
      </c>
      <c r="AA3" s="50" t="n">
        <f aca="false">IF(Debts!$G$6="",99,Debts!$G$6)</f>
        <v>2</v>
      </c>
      <c r="AB3" s="50" t="n">
        <f aca="false">IF(Debts!$G$7="",99,Debts!$G$7)</f>
        <v>4</v>
      </c>
      <c r="AC3" s="50" t="n">
        <f aca="false">IF(Debts!$G$8="",99,Debts!$G$8)</f>
        <v>3</v>
      </c>
      <c r="AD3" s="50" t="n">
        <f aca="false">IF(Debts!$G$9="",99,Debts!$G$9)</f>
        <v>6</v>
      </c>
      <c r="AE3" s="50" t="n">
        <f aca="false">IF(Debts!$G$10="",99,Debts!$G$10)</f>
        <v>5</v>
      </c>
      <c r="AF3" s="50" t="n">
        <f aca="false">IF(Debts!$G$11="",99,Debts!$G$11)</f>
        <v>99</v>
      </c>
      <c r="AG3" s="50" t="n">
        <f aca="false">IF(Debts!$G$12="",99,Debts!$G$12)</f>
        <v>99</v>
      </c>
      <c r="AH3" s="50" t="n">
        <f aca="false">IF(Debts!$G$13="",99,Debts!$G$13)</f>
        <v>99</v>
      </c>
      <c r="AI3" s="50" t="n">
        <f aca="false">IF(Debts!$G$14="",99,Debts!$G$14)</f>
        <v>99</v>
      </c>
    </row>
    <row r="4" customFormat="false" ht="30" hidden="false" customHeight="true" outlineLevel="0" collapsed="false">
      <c r="A4" s="34" t="s">
        <v>79</v>
      </c>
      <c r="B4" s="34" t="s">
        <v>80</v>
      </c>
      <c r="C4" s="35" t="s">
        <v>81</v>
      </c>
      <c r="D4" s="35" t="s">
        <v>82</v>
      </c>
      <c r="E4" s="35" t="s">
        <v>83</v>
      </c>
      <c r="F4" s="51" t="str">
        <f aca="false">"Pay: "&amp;IF(Debts!$B$5="","Debt 1",Debts!$B$5)</f>
        <v>Pay: Store credit card</v>
      </c>
      <c r="G4" s="51" t="str">
        <f aca="false">"Pay: "&amp;IF(Debts!$B$6="","Debt 2",Debts!$B$6)</f>
        <v>Pay: Visa credit card</v>
      </c>
      <c r="H4" s="51" t="str">
        <f aca="false">"Pay: "&amp;IF(Debts!$B$7="","Debt 3",Debts!$B$7)</f>
        <v>Pay: Car loan</v>
      </c>
      <c r="I4" s="51" t="str">
        <f aca="false">"Pay: "&amp;IF(Debts!$B$8="","Debt 4",Debts!$B$8)</f>
        <v>Pay: Personal loan</v>
      </c>
      <c r="J4" s="51" t="str">
        <f aca="false">"Pay: "&amp;IF(Debts!$B$9="","Debt 5",Debts!$B$9)</f>
        <v>Pay: Medical bill</v>
      </c>
      <c r="K4" s="51" t="str">
        <f aca="false">"Pay: "&amp;IF(Debts!$B$10="","Debt 6",Debts!$B$10)</f>
        <v>Pay: Student loan</v>
      </c>
      <c r="L4" s="51" t="str">
        <f aca="false">"Pay: "&amp;IF(Debts!$B$11="","Debt 7",Debts!$B$11)</f>
        <v>Pay: Debt 7</v>
      </c>
      <c r="M4" s="51" t="str">
        <f aca="false">"Pay: "&amp;IF(Debts!$B$12="","Debt 8",Debts!$B$12)</f>
        <v>Pay: Debt 8</v>
      </c>
      <c r="N4" s="51" t="str">
        <f aca="false">"Pay: "&amp;IF(Debts!$B$13="","Debt 9",Debts!$B$13)</f>
        <v>Pay: Debt 9</v>
      </c>
      <c r="O4" s="51" t="str">
        <f aca="false">"Pay: "&amp;IF(Debts!$B$14="","Debt 10",Debts!$B$14)</f>
        <v>Pay: Debt 10</v>
      </c>
      <c r="P4" s="51" t="str">
        <f aca="false">"Left: "&amp;IF(Debts!$B$5="","Debt 1",Debts!$B$5)</f>
        <v>Left: Store credit card</v>
      </c>
      <c r="Q4" s="51" t="str">
        <f aca="false">"Left: "&amp;IF(Debts!$B$6="","Debt 2",Debts!$B$6)</f>
        <v>Left: Visa credit card</v>
      </c>
      <c r="R4" s="51" t="str">
        <f aca="false">"Left: "&amp;IF(Debts!$B$7="","Debt 3",Debts!$B$7)</f>
        <v>Left: Car loan</v>
      </c>
      <c r="S4" s="51" t="str">
        <f aca="false">"Left: "&amp;IF(Debts!$B$8="","Debt 4",Debts!$B$8)</f>
        <v>Left: Personal loan</v>
      </c>
      <c r="T4" s="51" t="str">
        <f aca="false">"Left: "&amp;IF(Debts!$B$9="","Debt 5",Debts!$B$9)</f>
        <v>Left: Medical bill</v>
      </c>
      <c r="U4" s="51" t="str">
        <f aca="false">"Left: "&amp;IF(Debts!$B$10="","Debt 6",Debts!$B$10)</f>
        <v>Left: Student loan</v>
      </c>
      <c r="V4" s="51" t="str">
        <f aca="false">"Left: "&amp;IF(Debts!$B$11="","Debt 7",Debts!$B$11)</f>
        <v>Left: Debt 7</v>
      </c>
      <c r="W4" s="51" t="str">
        <f aca="false">"Left: "&amp;IF(Debts!$B$12="","Debt 8",Debts!$B$12)</f>
        <v>Left: Debt 8</v>
      </c>
      <c r="X4" s="51" t="str">
        <f aca="false">"Left: "&amp;IF(Debts!$B$13="","Debt 9",Debts!$B$13)</f>
        <v>Left: Debt 9</v>
      </c>
      <c r="Y4" s="51" t="str">
        <f aca="false">"Left: "&amp;IF(Debts!$B$14="","Debt 10",Debts!$B$14)</f>
        <v>Left: Debt 10</v>
      </c>
      <c r="Z4" s="52" t="str">
        <f aca="false">"Owed: "&amp;IF(Debts!$B$5="","Debt 1",Debts!$B$5)</f>
        <v>Owed: Store credit card</v>
      </c>
      <c r="AA4" s="52" t="str">
        <f aca="false">"Owed: "&amp;IF(Debts!$B$6="","Debt 2",Debts!$B$6)</f>
        <v>Owed: Visa credit card</v>
      </c>
      <c r="AB4" s="52" t="str">
        <f aca="false">"Owed: "&amp;IF(Debts!$B$7="","Debt 3",Debts!$B$7)</f>
        <v>Owed: Car loan</v>
      </c>
      <c r="AC4" s="52" t="str">
        <f aca="false">"Owed: "&amp;IF(Debts!$B$8="","Debt 4",Debts!$B$8)</f>
        <v>Owed: Personal loan</v>
      </c>
      <c r="AD4" s="52" t="str">
        <f aca="false">"Owed: "&amp;IF(Debts!$B$9="","Debt 5",Debts!$B$9)</f>
        <v>Owed: Medical bill</v>
      </c>
      <c r="AE4" s="52" t="str">
        <f aca="false">"Owed: "&amp;IF(Debts!$B$10="","Debt 6",Debts!$B$10)</f>
        <v>Owed: Student loan</v>
      </c>
      <c r="AF4" s="52" t="str">
        <f aca="false">"Owed: "&amp;IF(Debts!$B$11="","Debt 7",Debts!$B$11)</f>
        <v>Owed: Debt 7</v>
      </c>
      <c r="AG4" s="52" t="str">
        <f aca="false">"Owed: "&amp;IF(Debts!$B$12="","Debt 8",Debts!$B$12)</f>
        <v>Owed: Debt 8</v>
      </c>
      <c r="AH4" s="52" t="str">
        <f aca="false">"Owed: "&amp;IF(Debts!$B$13="","Debt 9",Debts!$B$13)</f>
        <v>Owed: Debt 9</v>
      </c>
      <c r="AI4" s="52" t="str">
        <f aca="false">"Owed: "&amp;IF(Debts!$B$14="","Debt 10",Debts!$B$14)</f>
        <v>Owed: Debt 10</v>
      </c>
      <c r="AJ4" s="52" t="str">
        <f aca="false">"Min: "&amp;IF(Debts!$B$5="","Debt 1",Debts!$B$5)</f>
        <v>Min: Store credit card</v>
      </c>
      <c r="AK4" s="52" t="str">
        <f aca="false">"Min: "&amp;IF(Debts!$B$6="","Debt 2",Debts!$B$6)</f>
        <v>Min: Visa credit card</v>
      </c>
      <c r="AL4" s="52" t="str">
        <f aca="false">"Min: "&amp;IF(Debts!$B$7="","Debt 3",Debts!$B$7)</f>
        <v>Min: Car loan</v>
      </c>
      <c r="AM4" s="52" t="str">
        <f aca="false">"Min: "&amp;IF(Debts!$B$8="","Debt 4",Debts!$B$8)</f>
        <v>Min: Personal loan</v>
      </c>
      <c r="AN4" s="52" t="str">
        <f aca="false">"Min: "&amp;IF(Debts!$B$9="","Debt 5",Debts!$B$9)</f>
        <v>Min: Medical bill</v>
      </c>
      <c r="AO4" s="52" t="str">
        <f aca="false">"Min: "&amp;IF(Debts!$B$10="","Debt 6",Debts!$B$10)</f>
        <v>Min: Student loan</v>
      </c>
      <c r="AP4" s="52" t="str">
        <f aca="false">"Min: "&amp;IF(Debts!$B$11="","Debt 7",Debts!$B$11)</f>
        <v>Min: Debt 7</v>
      </c>
      <c r="AQ4" s="52" t="str">
        <f aca="false">"Min: "&amp;IF(Debts!$B$12="","Debt 8",Debts!$B$12)</f>
        <v>Min: Debt 8</v>
      </c>
      <c r="AR4" s="52" t="str">
        <f aca="false">"Min: "&amp;IF(Debts!$B$13="","Debt 9",Debts!$B$13)</f>
        <v>Min: Debt 9</v>
      </c>
      <c r="AS4" s="52" t="str">
        <f aca="false">"Min: "&amp;IF(Debts!$B$14="","Debt 10",Debts!$B$14)</f>
        <v>Min: Debt 10</v>
      </c>
    </row>
    <row r="5" customFormat="false" ht="15" hidden="false" customHeight="false" outlineLevel="0" collapsed="false">
      <c r="A5" s="53" t="n">
        <v>1</v>
      </c>
      <c r="B5" s="54" t="n">
        <f aca="false">EDATE('Start Here'!$B$8,0)</f>
        <v>46327</v>
      </c>
      <c r="C5" s="42" t="n">
        <f aca="false">SUM(F5:O5)</f>
        <v>1220</v>
      </c>
      <c r="D5" s="42" t="n">
        <f aca="false">ROUND(SUM($Z5:$AI5)-SUM(Debts!$C$5:$C$14),2)</f>
        <v>366.98</v>
      </c>
      <c r="E5" s="55" t="n">
        <f aca="false">SUM(P5:Y5)</f>
        <v>43096.98</v>
      </c>
      <c r="F5" s="42" t="n">
        <f aca="false">AJ5+MIN(Z5-AJ5,MAX(0,'Start Here'!$B$10-SUM($AJ5:$AS5)-SUMPRODUCT(($Z$3:$AI$3&lt;Z$3)*($Z5:$AI5-$AJ5:$AS5))))</f>
        <v>335</v>
      </c>
      <c r="G5" s="42" t="n">
        <f aca="false">AK5+MIN(AA5-AK5,MAX(0,'Start Here'!$B$10-SUM($AJ5:$AS5)-SUMPRODUCT(($Z$3:$AI$3&lt;AA$3)*($Z5:$AI5-$AJ5:$AS5))))</f>
        <v>170</v>
      </c>
      <c r="H5" s="42" t="n">
        <f aca="false">AL5+MIN(AB5-AL5,MAX(0,'Start Here'!$B$10-SUM($AJ5:$AS5)-SUMPRODUCT(($Z$3:$AI$3&lt;AB$3)*($Z5:$AI5-$AJ5:$AS5))))</f>
        <v>310</v>
      </c>
      <c r="I5" s="42" t="n">
        <f aca="false">AM5+MIN(AC5-AM5,MAX(0,'Start Here'!$B$10-SUM($AJ5:$AS5)-SUMPRODUCT(($Z$3:$AI$3&lt;AC$3)*($Z5:$AI5-$AJ5:$AS5))))</f>
        <v>145</v>
      </c>
      <c r="J5" s="42" t="n">
        <f aca="false">AN5+MIN(AD5-AN5,MAX(0,'Start Here'!$B$10-SUM($AJ5:$AS5)-SUMPRODUCT(($Z$3:$AI$3&lt;AD$3)*($Z5:$AI5-$AJ5:$AS5))))</f>
        <v>50</v>
      </c>
      <c r="K5" s="42" t="n">
        <f aca="false">AO5+MIN(AE5-AO5,MAX(0,'Start Here'!$B$10-SUM($AJ5:$AS5)-SUMPRODUCT(($Z$3:$AI$3&lt;AE$3)*($Z5:$AI5-$AJ5:$AS5))))</f>
        <v>210</v>
      </c>
      <c r="L5" s="42" t="n">
        <f aca="false">AP5+MIN(AF5-AP5,MAX(0,'Start Here'!$B$10-SUM($AJ5:$AS5)-SUMPRODUCT(($Z$3:$AI$3&lt;AF$3)*($Z5:$AI5-$AJ5:$AS5))))</f>
        <v>0</v>
      </c>
      <c r="M5" s="42" t="n">
        <f aca="false">AQ5+MIN(AG5-AQ5,MAX(0,'Start Here'!$B$10-SUM($AJ5:$AS5)-SUMPRODUCT(($Z$3:$AI$3&lt;AG$3)*($Z5:$AI5-$AJ5:$AS5))))</f>
        <v>0</v>
      </c>
      <c r="N5" s="42" t="n">
        <f aca="false">AR5+MIN(AH5-AR5,MAX(0,'Start Here'!$B$10-SUM($AJ5:$AS5)-SUMPRODUCT(($Z$3:$AI$3&lt;AH$3)*($Z5:$AI5-$AJ5:$AS5))))</f>
        <v>0</v>
      </c>
      <c r="O5" s="42" t="n">
        <f aca="false">AS5+MIN(AI5-AS5,MAX(0,'Start Here'!$B$10-SUM($AJ5:$AS5)-SUMPRODUCT(($Z$3:$AI$3&lt;AI$3)*($Z5:$AI5-$AJ5:$AS5))))</f>
        <v>0</v>
      </c>
      <c r="P5" s="42" t="n">
        <f aca="false">ROUND(Z5-F5,2)</f>
        <v>840.87</v>
      </c>
      <c r="Q5" s="42" t="n">
        <f aca="false">ROUND(AA5-G5,2)</f>
        <v>6757.44</v>
      </c>
      <c r="R5" s="42" t="n">
        <f aca="false">ROUND(AB5-H5,2)</f>
        <v>12171.63</v>
      </c>
      <c r="S5" s="42" t="n">
        <f aca="false">ROUND(AC5-I5,2)</f>
        <v>4102.25</v>
      </c>
      <c r="T5" s="42" t="n">
        <f aca="false">ROUND(AD5-J5,2)</f>
        <v>850</v>
      </c>
      <c r="U5" s="42" t="n">
        <f aca="false">ROUND(AE5-K5,2)</f>
        <v>18374.79</v>
      </c>
      <c r="V5" s="42" t="n">
        <f aca="false">ROUND(AF5-L5,2)</f>
        <v>0</v>
      </c>
      <c r="W5" s="42" t="n">
        <f aca="false">ROUND(AG5-M5,2)</f>
        <v>0</v>
      </c>
      <c r="X5" s="42" t="n">
        <f aca="false">ROUND(AH5-N5,2)</f>
        <v>0</v>
      </c>
      <c r="Y5" s="42" t="n">
        <f aca="false">ROUND(AI5-O5,2)</f>
        <v>0</v>
      </c>
      <c r="Z5" s="56" t="n">
        <f aca="false">ROUND(MAX(0,N(Debts!$C$5))*(1+N(Debts!$D$5)/12),2)</f>
        <v>1175.87</v>
      </c>
      <c r="AA5" s="56" t="n">
        <f aca="false">ROUND(MAX(0,N(Debts!$C$6))*(1+N(Debts!$D$6)/12),2)</f>
        <v>6927.44</v>
      </c>
      <c r="AB5" s="56" t="n">
        <f aca="false">ROUND(MAX(0,N(Debts!$C$7))*(1+N(Debts!$D$7)/12),2)</f>
        <v>12481.63</v>
      </c>
      <c r="AC5" s="56" t="n">
        <f aca="false">ROUND(MAX(0,N(Debts!$C$8))*(1+N(Debts!$D$8)/12),2)</f>
        <v>4247.25</v>
      </c>
      <c r="AD5" s="56" t="n">
        <f aca="false">ROUND(MAX(0,N(Debts!$C$9))*(1+N(Debts!$D$9)/12),2)</f>
        <v>900</v>
      </c>
      <c r="AE5" s="56" t="n">
        <f aca="false">ROUND(MAX(0,N(Debts!$C$10))*(1+N(Debts!$D$10)/12),2)</f>
        <v>18584.79</v>
      </c>
      <c r="AF5" s="56" t="n">
        <f aca="false">ROUND(MAX(0,N(Debts!$C$11))*(1+N(Debts!$D$11)/12),2)</f>
        <v>0</v>
      </c>
      <c r="AG5" s="56" t="n">
        <f aca="false">ROUND(MAX(0,N(Debts!$C$12))*(1+N(Debts!$D$12)/12),2)</f>
        <v>0</v>
      </c>
      <c r="AH5" s="56" t="n">
        <f aca="false">ROUND(MAX(0,N(Debts!$C$13))*(1+N(Debts!$D$13)/12),2)</f>
        <v>0</v>
      </c>
      <c r="AI5" s="56" t="n">
        <f aca="false">ROUND(MAX(0,N(Debts!$C$14))*(1+N(Debts!$D$14)/12),2)</f>
        <v>0</v>
      </c>
      <c r="AJ5" s="56" t="n">
        <f aca="false">MIN(Z5,MAX(0,N(Debts!$E$5)))</f>
        <v>35</v>
      </c>
      <c r="AK5" s="56" t="n">
        <f aca="false">MIN(AA5,MAX(0,N(Debts!$E$6)))</f>
        <v>170</v>
      </c>
      <c r="AL5" s="56" t="n">
        <f aca="false">MIN(AB5,MAX(0,N(Debts!$E$7)))</f>
        <v>310</v>
      </c>
      <c r="AM5" s="56" t="n">
        <f aca="false">MIN(AC5,MAX(0,N(Debts!$E$8)))</f>
        <v>145</v>
      </c>
      <c r="AN5" s="56" t="n">
        <f aca="false">MIN(AD5,MAX(0,N(Debts!$E$9)))</f>
        <v>50</v>
      </c>
      <c r="AO5" s="56" t="n">
        <f aca="false">MIN(AE5,MAX(0,N(Debts!$E$10)))</f>
        <v>210</v>
      </c>
      <c r="AP5" s="56" t="n">
        <f aca="false">MIN(AF5,MAX(0,N(Debts!$E$11)))</f>
        <v>0</v>
      </c>
      <c r="AQ5" s="56" t="n">
        <f aca="false">MIN(AG5,MAX(0,N(Debts!$E$12)))</f>
        <v>0</v>
      </c>
      <c r="AR5" s="56" t="n">
        <f aca="false">MIN(AH5,MAX(0,N(Debts!$E$13)))</f>
        <v>0</v>
      </c>
      <c r="AS5" s="56" t="n">
        <f aca="false">MIN(AI5,MAX(0,N(Debts!$E$14)))</f>
        <v>0</v>
      </c>
    </row>
    <row r="6" customFormat="false" ht="15" hidden="false" customHeight="false" outlineLevel="0" collapsed="false">
      <c r="A6" s="53" t="n">
        <v>2</v>
      </c>
      <c r="B6" s="54" t="n">
        <f aca="false">EDATE('Start Here'!$B$8,1)</f>
        <v>46357</v>
      </c>
      <c r="C6" s="42" t="n">
        <f aca="false">SUM(F6:O6)</f>
        <v>1220</v>
      </c>
      <c r="D6" s="42" t="n">
        <f aca="false">ROUND(SUM($Z6:$AI6)-SUM(P5:Y5),2)</f>
        <v>356.06</v>
      </c>
      <c r="E6" s="55" t="n">
        <f aca="false">SUM(P6:Y6)</f>
        <v>42233.04</v>
      </c>
      <c r="F6" s="42" t="n">
        <f aca="false">AJ6+MIN(Z6-AJ6,MAX(0,'Start Here'!$B$10-SUM($AJ6:$AS6)-SUMPRODUCT(($Z$3:$AI$3&lt;Z$3)*($Z6:$AI6-$AJ6:$AS6))))</f>
        <v>335</v>
      </c>
      <c r="G6" s="42" t="n">
        <f aca="false">AK6+MIN(AA6-AK6,MAX(0,'Start Here'!$B$10-SUM($AJ6:$AS6)-SUMPRODUCT(($Z$3:$AI$3&lt;AA$3)*($Z6:$AI6-$AJ6:$AS6))))</f>
        <v>170</v>
      </c>
      <c r="H6" s="42" t="n">
        <f aca="false">AL6+MIN(AB6-AL6,MAX(0,'Start Here'!$B$10-SUM($AJ6:$AS6)-SUMPRODUCT(($Z$3:$AI$3&lt;AB$3)*($Z6:$AI6-$AJ6:$AS6))))</f>
        <v>310</v>
      </c>
      <c r="I6" s="42" t="n">
        <f aca="false">AM6+MIN(AC6-AM6,MAX(0,'Start Here'!$B$10-SUM($AJ6:$AS6)-SUMPRODUCT(($Z$3:$AI$3&lt;AC$3)*($Z6:$AI6-$AJ6:$AS6))))</f>
        <v>145</v>
      </c>
      <c r="J6" s="42" t="n">
        <f aca="false">AN6+MIN(AD6-AN6,MAX(0,'Start Here'!$B$10-SUM($AJ6:$AS6)-SUMPRODUCT(($Z$3:$AI$3&lt;AD$3)*($Z6:$AI6-$AJ6:$AS6))))</f>
        <v>50</v>
      </c>
      <c r="K6" s="42" t="n">
        <f aca="false">AO6+MIN(AE6-AO6,MAX(0,'Start Here'!$B$10-SUM($AJ6:$AS6)-SUMPRODUCT(($Z$3:$AI$3&lt;AE$3)*($Z6:$AI6-$AJ6:$AS6))))</f>
        <v>210</v>
      </c>
      <c r="L6" s="42" t="n">
        <f aca="false">AP6+MIN(AF6-AP6,MAX(0,'Start Here'!$B$10-SUM($AJ6:$AS6)-SUMPRODUCT(($Z$3:$AI$3&lt;AF$3)*($Z6:$AI6-$AJ6:$AS6))))</f>
        <v>0</v>
      </c>
      <c r="M6" s="42" t="n">
        <f aca="false">AQ6+MIN(AG6-AQ6,MAX(0,'Start Here'!$B$10-SUM($AJ6:$AS6)-SUMPRODUCT(($Z$3:$AI$3&lt;AG$3)*($Z6:$AI6-$AJ6:$AS6))))</f>
        <v>0</v>
      </c>
      <c r="N6" s="42" t="n">
        <f aca="false">AR6+MIN(AH6-AR6,MAX(0,'Start Here'!$B$10-SUM($AJ6:$AS6)-SUMPRODUCT(($Z$3:$AI$3&lt;AH$3)*($Z6:$AI6-$AJ6:$AS6))))</f>
        <v>0</v>
      </c>
      <c r="O6" s="42" t="n">
        <f aca="false">AS6+MIN(AI6-AS6,MAX(0,'Start Here'!$B$10-SUM($AJ6:$AS6)-SUMPRODUCT(($Z$3:$AI$3&lt;AI$3)*($Z6:$AI6-$AJ6:$AS6))))</f>
        <v>0</v>
      </c>
      <c r="P6" s="42" t="n">
        <f aca="false">ROUND(Z6-F6,2)</f>
        <v>524.78</v>
      </c>
      <c r="Q6" s="42" t="n">
        <f aca="false">ROUND(AA6-G6,2)</f>
        <v>6714.09</v>
      </c>
      <c r="R6" s="42" t="n">
        <f aca="false">ROUND(AB6-H6,2)</f>
        <v>11941.76</v>
      </c>
      <c r="S6" s="42" t="n">
        <f aca="false">ROUND(AC6-I6,2)</f>
        <v>4003.4</v>
      </c>
      <c r="T6" s="42" t="n">
        <f aca="false">ROUND(AD6-J6,2)</f>
        <v>800</v>
      </c>
      <c r="U6" s="42" t="n">
        <f aca="false">ROUND(AE6-K6,2)</f>
        <v>18249.01</v>
      </c>
      <c r="V6" s="42" t="n">
        <f aca="false">ROUND(AF6-L6,2)</f>
        <v>0</v>
      </c>
      <c r="W6" s="42" t="n">
        <f aca="false">ROUND(AG6-M6,2)</f>
        <v>0</v>
      </c>
      <c r="X6" s="42" t="n">
        <f aca="false">ROUND(AH6-N6,2)</f>
        <v>0</v>
      </c>
      <c r="Y6" s="42" t="n">
        <f aca="false">ROUND(AI6-O6,2)</f>
        <v>0</v>
      </c>
      <c r="Z6" s="56" t="n">
        <f aca="false">ROUND(P5*(1+N(Debts!$D$5)/12),2)</f>
        <v>859.78</v>
      </c>
      <c r="AA6" s="56" t="n">
        <f aca="false">ROUND(Q5*(1+N(Debts!$D$6)/12),2)</f>
        <v>6884.09</v>
      </c>
      <c r="AB6" s="56" t="n">
        <f aca="false">ROUND(R5*(1+N(Debts!$D$7)/12),2)</f>
        <v>12251.76</v>
      </c>
      <c r="AC6" s="56" t="n">
        <f aca="false">ROUND(S5*(1+N(Debts!$D$8)/12),2)</f>
        <v>4148.4</v>
      </c>
      <c r="AD6" s="56" t="n">
        <f aca="false">ROUND(T5*(1+N(Debts!$D$9)/12),2)</f>
        <v>850</v>
      </c>
      <c r="AE6" s="56" t="n">
        <f aca="false">ROUND(U5*(1+N(Debts!$D$10)/12),2)</f>
        <v>18459.01</v>
      </c>
      <c r="AF6" s="56" t="n">
        <f aca="false">ROUND(V5*(1+N(Debts!$D$11)/12),2)</f>
        <v>0</v>
      </c>
      <c r="AG6" s="56" t="n">
        <f aca="false">ROUND(W5*(1+N(Debts!$D$12)/12),2)</f>
        <v>0</v>
      </c>
      <c r="AH6" s="56" t="n">
        <f aca="false">ROUND(X5*(1+N(Debts!$D$13)/12),2)</f>
        <v>0</v>
      </c>
      <c r="AI6" s="56" t="n">
        <f aca="false">ROUND(Y5*(1+N(Debts!$D$14)/12),2)</f>
        <v>0</v>
      </c>
      <c r="AJ6" s="56" t="n">
        <f aca="false">MIN(Z6,MAX(0,N(Debts!$E$5)))</f>
        <v>35</v>
      </c>
      <c r="AK6" s="56" t="n">
        <f aca="false">MIN(AA6,MAX(0,N(Debts!$E$6)))</f>
        <v>170</v>
      </c>
      <c r="AL6" s="56" t="n">
        <f aca="false">MIN(AB6,MAX(0,N(Debts!$E$7)))</f>
        <v>310</v>
      </c>
      <c r="AM6" s="56" t="n">
        <f aca="false">MIN(AC6,MAX(0,N(Debts!$E$8)))</f>
        <v>145</v>
      </c>
      <c r="AN6" s="56" t="n">
        <f aca="false">MIN(AD6,MAX(0,N(Debts!$E$9)))</f>
        <v>50</v>
      </c>
      <c r="AO6" s="56" t="n">
        <f aca="false">MIN(AE6,MAX(0,N(Debts!$E$10)))</f>
        <v>210</v>
      </c>
      <c r="AP6" s="56" t="n">
        <f aca="false">MIN(AF6,MAX(0,N(Debts!$E$11)))</f>
        <v>0</v>
      </c>
      <c r="AQ6" s="56" t="n">
        <f aca="false">MIN(AG6,MAX(0,N(Debts!$E$12)))</f>
        <v>0</v>
      </c>
      <c r="AR6" s="56" t="n">
        <f aca="false">MIN(AH6,MAX(0,N(Debts!$E$13)))</f>
        <v>0</v>
      </c>
      <c r="AS6" s="56" t="n">
        <f aca="false">MIN(AI6,MAX(0,N(Debts!$E$14)))</f>
        <v>0</v>
      </c>
    </row>
    <row r="7" customFormat="false" ht="15" hidden="false" customHeight="false" outlineLevel="0" collapsed="false">
      <c r="A7" s="53" t="n">
        <v>3</v>
      </c>
      <c r="B7" s="54" t="n">
        <f aca="false">EDATE('Start Here'!$B$8,2)</f>
        <v>46388</v>
      </c>
      <c r="C7" s="42" t="n">
        <f aca="false">SUM(F7:O7)</f>
        <v>1220</v>
      </c>
      <c r="D7" s="42" t="n">
        <f aca="false">ROUND(SUM($Z7:$AI7)-SUM(P6:Y6),2)</f>
        <v>344.93</v>
      </c>
      <c r="E7" s="55" t="n">
        <f aca="false">SUM(P7:Y7)</f>
        <v>41357.97</v>
      </c>
      <c r="F7" s="42" t="n">
        <f aca="false">AJ7+MIN(Z7-AJ7,MAX(0,'Start Here'!$B$10-SUM($AJ7:$AS7)-SUMPRODUCT(($Z$3:$AI$3&lt;Z$3)*($Z7:$AI7-$AJ7:$AS7))))</f>
        <v>335</v>
      </c>
      <c r="G7" s="42" t="n">
        <f aca="false">AK7+MIN(AA7-AK7,MAX(0,'Start Here'!$B$10-SUM($AJ7:$AS7)-SUMPRODUCT(($Z$3:$AI$3&lt;AA$3)*($Z7:$AI7-$AJ7:$AS7))))</f>
        <v>170</v>
      </c>
      <c r="H7" s="42" t="n">
        <f aca="false">AL7+MIN(AB7-AL7,MAX(0,'Start Here'!$B$10-SUM($AJ7:$AS7)-SUMPRODUCT(($Z$3:$AI$3&lt;AB$3)*($Z7:$AI7-$AJ7:$AS7))))</f>
        <v>310</v>
      </c>
      <c r="I7" s="42" t="n">
        <f aca="false">AM7+MIN(AC7-AM7,MAX(0,'Start Here'!$B$10-SUM($AJ7:$AS7)-SUMPRODUCT(($Z$3:$AI$3&lt;AC$3)*($Z7:$AI7-$AJ7:$AS7))))</f>
        <v>145</v>
      </c>
      <c r="J7" s="42" t="n">
        <f aca="false">AN7+MIN(AD7-AN7,MAX(0,'Start Here'!$B$10-SUM($AJ7:$AS7)-SUMPRODUCT(($Z$3:$AI$3&lt;AD$3)*($Z7:$AI7-$AJ7:$AS7))))</f>
        <v>50</v>
      </c>
      <c r="K7" s="42" t="n">
        <f aca="false">AO7+MIN(AE7-AO7,MAX(0,'Start Here'!$B$10-SUM($AJ7:$AS7)-SUMPRODUCT(($Z$3:$AI$3&lt;AE$3)*($Z7:$AI7-$AJ7:$AS7))))</f>
        <v>210</v>
      </c>
      <c r="L7" s="42" t="n">
        <f aca="false">AP7+MIN(AF7-AP7,MAX(0,'Start Here'!$B$10-SUM($AJ7:$AS7)-SUMPRODUCT(($Z$3:$AI$3&lt;AF$3)*($Z7:$AI7-$AJ7:$AS7))))</f>
        <v>0</v>
      </c>
      <c r="M7" s="42" t="n">
        <f aca="false">AQ7+MIN(AG7-AQ7,MAX(0,'Start Here'!$B$10-SUM($AJ7:$AS7)-SUMPRODUCT(($Z$3:$AI$3&lt;AG$3)*($Z7:$AI7-$AJ7:$AS7))))</f>
        <v>0</v>
      </c>
      <c r="N7" s="42" t="n">
        <f aca="false">AR7+MIN(AH7-AR7,MAX(0,'Start Here'!$B$10-SUM($AJ7:$AS7)-SUMPRODUCT(($Z$3:$AI$3&lt;AH$3)*($Z7:$AI7-$AJ7:$AS7))))</f>
        <v>0</v>
      </c>
      <c r="O7" s="42" t="n">
        <f aca="false">AS7+MIN(AI7-AS7,MAX(0,'Start Here'!$B$10-SUM($AJ7:$AS7)-SUMPRODUCT(($Z$3:$AI$3&lt;AI$3)*($Z7:$AI7-$AJ7:$AS7))))</f>
        <v>0</v>
      </c>
      <c r="P7" s="42" t="n">
        <f aca="false">ROUND(Z7-F7,2)</f>
        <v>201.58</v>
      </c>
      <c r="Q7" s="42" t="n">
        <f aca="false">ROUND(AA7-G7,2)</f>
        <v>6669.92</v>
      </c>
      <c r="R7" s="42" t="n">
        <f aca="false">ROUND(AB7-H7,2)</f>
        <v>11710.38</v>
      </c>
      <c r="S7" s="42" t="n">
        <f aca="false">ROUND(AC7-I7,2)</f>
        <v>3903.44</v>
      </c>
      <c r="T7" s="42" t="n">
        <f aca="false">ROUND(AD7-J7,2)</f>
        <v>750</v>
      </c>
      <c r="U7" s="42" t="n">
        <f aca="false">ROUND(AE7-K7,2)</f>
        <v>18122.65</v>
      </c>
      <c r="V7" s="42" t="n">
        <f aca="false">ROUND(AF7-L7,2)</f>
        <v>0</v>
      </c>
      <c r="W7" s="42" t="n">
        <f aca="false">ROUND(AG7-M7,2)</f>
        <v>0</v>
      </c>
      <c r="X7" s="42" t="n">
        <f aca="false">ROUND(AH7-N7,2)</f>
        <v>0</v>
      </c>
      <c r="Y7" s="42" t="n">
        <f aca="false">ROUND(AI7-O7,2)</f>
        <v>0</v>
      </c>
      <c r="Z7" s="56" t="n">
        <f aca="false">ROUND(P6*(1+N(Debts!$D$5)/12),2)</f>
        <v>536.58</v>
      </c>
      <c r="AA7" s="56" t="n">
        <f aca="false">ROUND(Q6*(1+N(Debts!$D$6)/12),2)</f>
        <v>6839.92</v>
      </c>
      <c r="AB7" s="56" t="n">
        <f aca="false">ROUND(R6*(1+N(Debts!$D$7)/12),2)</f>
        <v>12020.38</v>
      </c>
      <c r="AC7" s="56" t="n">
        <f aca="false">ROUND(S6*(1+N(Debts!$D$8)/12),2)</f>
        <v>4048.44</v>
      </c>
      <c r="AD7" s="56" t="n">
        <f aca="false">ROUND(T6*(1+N(Debts!$D$9)/12),2)</f>
        <v>800</v>
      </c>
      <c r="AE7" s="56" t="n">
        <f aca="false">ROUND(U6*(1+N(Debts!$D$10)/12),2)</f>
        <v>18332.65</v>
      </c>
      <c r="AF7" s="56" t="n">
        <f aca="false">ROUND(V6*(1+N(Debts!$D$11)/12),2)</f>
        <v>0</v>
      </c>
      <c r="AG7" s="56" t="n">
        <f aca="false">ROUND(W6*(1+N(Debts!$D$12)/12),2)</f>
        <v>0</v>
      </c>
      <c r="AH7" s="56" t="n">
        <f aca="false">ROUND(X6*(1+N(Debts!$D$13)/12),2)</f>
        <v>0</v>
      </c>
      <c r="AI7" s="56" t="n">
        <f aca="false">ROUND(Y6*(1+N(Debts!$D$14)/12),2)</f>
        <v>0</v>
      </c>
      <c r="AJ7" s="56" t="n">
        <f aca="false">MIN(Z7,MAX(0,N(Debts!$E$5)))</f>
        <v>35</v>
      </c>
      <c r="AK7" s="56" t="n">
        <f aca="false">MIN(AA7,MAX(0,N(Debts!$E$6)))</f>
        <v>170</v>
      </c>
      <c r="AL7" s="56" t="n">
        <f aca="false">MIN(AB7,MAX(0,N(Debts!$E$7)))</f>
        <v>310</v>
      </c>
      <c r="AM7" s="56" t="n">
        <f aca="false">MIN(AC7,MAX(0,N(Debts!$E$8)))</f>
        <v>145</v>
      </c>
      <c r="AN7" s="56" t="n">
        <f aca="false">MIN(AD7,MAX(0,N(Debts!$E$9)))</f>
        <v>50</v>
      </c>
      <c r="AO7" s="56" t="n">
        <f aca="false">MIN(AE7,MAX(0,N(Debts!$E$10)))</f>
        <v>210</v>
      </c>
      <c r="AP7" s="56" t="n">
        <f aca="false">MIN(AF7,MAX(0,N(Debts!$E$11)))</f>
        <v>0</v>
      </c>
      <c r="AQ7" s="56" t="n">
        <f aca="false">MIN(AG7,MAX(0,N(Debts!$E$12)))</f>
        <v>0</v>
      </c>
      <c r="AR7" s="56" t="n">
        <f aca="false">MIN(AH7,MAX(0,N(Debts!$E$13)))</f>
        <v>0</v>
      </c>
      <c r="AS7" s="56" t="n">
        <f aca="false">MIN(AI7,MAX(0,N(Debts!$E$14)))</f>
        <v>0</v>
      </c>
    </row>
    <row r="8" customFormat="false" ht="15" hidden="false" customHeight="false" outlineLevel="0" collapsed="false">
      <c r="A8" s="53" t="n">
        <v>4</v>
      </c>
      <c r="B8" s="54" t="n">
        <f aca="false">EDATE('Start Here'!$B$8,3)</f>
        <v>46419</v>
      </c>
      <c r="C8" s="42" t="n">
        <f aca="false">SUM(F8:O8)</f>
        <v>1220</v>
      </c>
      <c r="D8" s="42" t="n">
        <f aca="false">ROUND(SUM($Z8:$AI8)-SUM(P7:Y7),2)</f>
        <v>333.6</v>
      </c>
      <c r="E8" s="55" t="n">
        <f aca="false">SUM(P8:Y8)</f>
        <v>40471.57</v>
      </c>
      <c r="F8" s="42" t="n">
        <f aca="false">AJ8+MIN(Z8-AJ8,MAX(0,'Start Here'!$B$10-SUM($AJ8:$AS8)-SUMPRODUCT(($Z$3:$AI$3&lt;Z$3)*($Z8:$AI8-$AJ8:$AS8))))</f>
        <v>206.11</v>
      </c>
      <c r="G8" s="42" t="n">
        <f aca="false">AK8+MIN(AA8-AK8,MAX(0,'Start Here'!$B$10-SUM($AJ8:$AS8)-SUMPRODUCT(($Z$3:$AI$3&lt;AA$3)*($Z8:$AI8-$AJ8:$AS8))))</f>
        <v>298.89</v>
      </c>
      <c r="H8" s="42" t="n">
        <f aca="false">AL8+MIN(AB8-AL8,MAX(0,'Start Here'!$B$10-SUM($AJ8:$AS8)-SUMPRODUCT(($Z$3:$AI$3&lt;AB$3)*($Z8:$AI8-$AJ8:$AS8))))</f>
        <v>310</v>
      </c>
      <c r="I8" s="42" t="n">
        <f aca="false">AM8+MIN(AC8-AM8,MAX(0,'Start Here'!$B$10-SUM($AJ8:$AS8)-SUMPRODUCT(($Z$3:$AI$3&lt;AC$3)*($Z8:$AI8-$AJ8:$AS8))))</f>
        <v>145</v>
      </c>
      <c r="J8" s="42" t="n">
        <f aca="false">AN8+MIN(AD8-AN8,MAX(0,'Start Here'!$B$10-SUM($AJ8:$AS8)-SUMPRODUCT(($Z$3:$AI$3&lt;AD$3)*($Z8:$AI8-$AJ8:$AS8))))</f>
        <v>50</v>
      </c>
      <c r="K8" s="42" t="n">
        <f aca="false">AO8+MIN(AE8-AO8,MAX(0,'Start Here'!$B$10-SUM($AJ8:$AS8)-SUMPRODUCT(($Z$3:$AI$3&lt;AE$3)*($Z8:$AI8-$AJ8:$AS8))))</f>
        <v>210</v>
      </c>
      <c r="L8" s="42" t="n">
        <f aca="false">AP8+MIN(AF8-AP8,MAX(0,'Start Here'!$B$10-SUM($AJ8:$AS8)-SUMPRODUCT(($Z$3:$AI$3&lt;AF$3)*($Z8:$AI8-$AJ8:$AS8))))</f>
        <v>0</v>
      </c>
      <c r="M8" s="42" t="n">
        <f aca="false">AQ8+MIN(AG8-AQ8,MAX(0,'Start Here'!$B$10-SUM($AJ8:$AS8)-SUMPRODUCT(($Z$3:$AI$3&lt;AG$3)*($Z8:$AI8-$AJ8:$AS8))))</f>
        <v>0</v>
      </c>
      <c r="N8" s="42" t="n">
        <f aca="false">AR8+MIN(AH8-AR8,MAX(0,'Start Here'!$B$10-SUM($AJ8:$AS8)-SUMPRODUCT(($Z$3:$AI$3&lt;AH$3)*($Z8:$AI8-$AJ8:$AS8))))</f>
        <v>0</v>
      </c>
      <c r="O8" s="42" t="n">
        <f aca="false">AS8+MIN(AI8-AS8,MAX(0,'Start Here'!$B$10-SUM($AJ8:$AS8)-SUMPRODUCT(($Z$3:$AI$3&lt;AI$3)*($Z8:$AI8-$AJ8:$AS8))))</f>
        <v>0</v>
      </c>
      <c r="P8" s="42" t="n">
        <f aca="false">ROUND(Z8-F8,2)</f>
        <v>0</v>
      </c>
      <c r="Q8" s="42" t="n">
        <f aca="false">ROUND(AA8-G8,2)</f>
        <v>6496.04</v>
      </c>
      <c r="R8" s="42" t="n">
        <f aca="false">ROUND(AB8-H8,2)</f>
        <v>11477.47</v>
      </c>
      <c r="S8" s="42" t="n">
        <f aca="false">ROUND(AC8-I8,2)</f>
        <v>3802.35</v>
      </c>
      <c r="T8" s="42" t="n">
        <f aca="false">ROUND(AD8-J8,2)</f>
        <v>700</v>
      </c>
      <c r="U8" s="42" t="n">
        <f aca="false">ROUND(AE8-K8,2)</f>
        <v>17995.71</v>
      </c>
      <c r="V8" s="42" t="n">
        <f aca="false">ROUND(AF8-L8,2)</f>
        <v>0</v>
      </c>
      <c r="W8" s="42" t="n">
        <f aca="false">ROUND(AG8-M8,2)</f>
        <v>0</v>
      </c>
      <c r="X8" s="42" t="n">
        <f aca="false">ROUND(AH8-N8,2)</f>
        <v>0</v>
      </c>
      <c r="Y8" s="42" t="n">
        <f aca="false">ROUND(AI8-O8,2)</f>
        <v>0</v>
      </c>
      <c r="Z8" s="56" t="n">
        <f aca="false">ROUND(P7*(1+N(Debts!$D$5)/12),2)</f>
        <v>206.11</v>
      </c>
      <c r="AA8" s="56" t="n">
        <f aca="false">ROUND(Q7*(1+N(Debts!$D$6)/12),2)</f>
        <v>6794.93</v>
      </c>
      <c r="AB8" s="56" t="n">
        <f aca="false">ROUND(R7*(1+N(Debts!$D$7)/12),2)</f>
        <v>11787.47</v>
      </c>
      <c r="AC8" s="56" t="n">
        <f aca="false">ROUND(S7*(1+N(Debts!$D$8)/12),2)</f>
        <v>3947.35</v>
      </c>
      <c r="AD8" s="56" t="n">
        <f aca="false">ROUND(T7*(1+N(Debts!$D$9)/12),2)</f>
        <v>750</v>
      </c>
      <c r="AE8" s="56" t="n">
        <f aca="false">ROUND(U7*(1+N(Debts!$D$10)/12),2)</f>
        <v>18205.71</v>
      </c>
      <c r="AF8" s="56" t="n">
        <f aca="false">ROUND(V7*(1+N(Debts!$D$11)/12),2)</f>
        <v>0</v>
      </c>
      <c r="AG8" s="56" t="n">
        <f aca="false">ROUND(W7*(1+N(Debts!$D$12)/12),2)</f>
        <v>0</v>
      </c>
      <c r="AH8" s="56" t="n">
        <f aca="false">ROUND(X7*(1+N(Debts!$D$13)/12),2)</f>
        <v>0</v>
      </c>
      <c r="AI8" s="56" t="n">
        <f aca="false">ROUND(Y7*(1+N(Debts!$D$14)/12),2)</f>
        <v>0</v>
      </c>
      <c r="AJ8" s="56" t="n">
        <f aca="false">MIN(Z8,MAX(0,N(Debts!$E$5)))</f>
        <v>35</v>
      </c>
      <c r="AK8" s="56" t="n">
        <f aca="false">MIN(AA8,MAX(0,N(Debts!$E$6)))</f>
        <v>170</v>
      </c>
      <c r="AL8" s="56" t="n">
        <f aca="false">MIN(AB8,MAX(0,N(Debts!$E$7)))</f>
        <v>310</v>
      </c>
      <c r="AM8" s="56" t="n">
        <f aca="false">MIN(AC8,MAX(0,N(Debts!$E$8)))</f>
        <v>145</v>
      </c>
      <c r="AN8" s="56" t="n">
        <f aca="false">MIN(AD8,MAX(0,N(Debts!$E$9)))</f>
        <v>50</v>
      </c>
      <c r="AO8" s="56" t="n">
        <f aca="false">MIN(AE8,MAX(0,N(Debts!$E$10)))</f>
        <v>210</v>
      </c>
      <c r="AP8" s="56" t="n">
        <f aca="false">MIN(AF8,MAX(0,N(Debts!$E$11)))</f>
        <v>0</v>
      </c>
      <c r="AQ8" s="56" t="n">
        <f aca="false">MIN(AG8,MAX(0,N(Debts!$E$12)))</f>
        <v>0</v>
      </c>
      <c r="AR8" s="56" t="n">
        <f aca="false">MIN(AH8,MAX(0,N(Debts!$E$13)))</f>
        <v>0</v>
      </c>
      <c r="AS8" s="56" t="n">
        <f aca="false">MIN(AI8,MAX(0,N(Debts!$E$14)))</f>
        <v>0</v>
      </c>
    </row>
    <row r="9" customFormat="false" ht="15" hidden="false" customHeight="false" outlineLevel="0" collapsed="false">
      <c r="A9" s="53" t="n">
        <v>5</v>
      </c>
      <c r="B9" s="54" t="n">
        <f aca="false">EDATE('Start Here'!$B$8,4)</f>
        <v>46447</v>
      </c>
      <c r="C9" s="42" t="n">
        <f aca="false">SUM(F9:O9)</f>
        <v>1220</v>
      </c>
      <c r="D9" s="42" t="n">
        <f aca="false">ROUND(SUM($Z9:$AI9)-SUM(P8:Y8),2)</f>
        <v>322.57</v>
      </c>
      <c r="E9" s="55" t="n">
        <f aca="false">SUM(P9:Y9)</f>
        <v>39574.14</v>
      </c>
      <c r="F9" s="42" t="n">
        <f aca="false">AJ9+MIN(Z9-AJ9,MAX(0,'Start Here'!$B$10-SUM($AJ9:$AS9)-SUMPRODUCT(($Z$3:$AI$3&lt;Z$3)*($Z9:$AI9-$AJ9:$AS9))))</f>
        <v>0</v>
      </c>
      <c r="G9" s="42" t="n">
        <f aca="false">AK9+MIN(AA9-AK9,MAX(0,'Start Here'!$B$10-SUM($AJ9:$AS9)-SUMPRODUCT(($Z$3:$AI$3&lt;AA$3)*($Z9:$AI9-$AJ9:$AS9))))</f>
        <v>505</v>
      </c>
      <c r="H9" s="42" t="n">
        <f aca="false">AL9+MIN(AB9-AL9,MAX(0,'Start Here'!$B$10-SUM($AJ9:$AS9)-SUMPRODUCT(($Z$3:$AI$3&lt;AB$3)*($Z9:$AI9-$AJ9:$AS9))))</f>
        <v>310</v>
      </c>
      <c r="I9" s="42" t="n">
        <f aca="false">AM9+MIN(AC9-AM9,MAX(0,'Start Here'!$B$10-SUM($AJ9:$AS9)-SUMPRODUCT(($Z$3:$AI$3&lt;AC$3)*($Z9:$AI9-$AJ9:$AS9))))</f>
        <v>145</v>
      </c>
      <c r="J9" s="42" t="n">
        <f aca="false">AN9+MIN(AD9-AN9,MAX(0,'Start Here'!$B$10-SUM($AJ9:$AS9)-SUMPRODUCT(($Z$3:$AI$3&lt;AD$3)*($Z9:$AI9-$AJ9:$AS9))))</f>
        <v>50</v>
      </c>
      <c r="K9" s="42" t="n">
        <f aca="false">AO9+MIN(AE9-AO9,MAX(0,'Start Here'!$B$10-SUM($AJ9:$AS9)-SUMPRODUCT(($Z$3:$AI$3&lt;AE$3)*($Z9:$AI9-$AJ9:$AS9))))</f>
        <v>210</v>
      </c>
      <c r="L9" s="42" t="n">
        <f aca="false">AP9+MIN(AF9-AP9,MAX(0,'Start Here'!$B$10-SUM($AJ9:$AS9)-SUMPRODUCT(($Z$3:$AI$3&lt;AF$3)*($Z9:$AI9-$AJ9:$AS9))))</f>
        <v>0</v>
      </c>
      <c r="M9" s="42" t="n">
        <f aca="false">AQ9+MIN(AG9-AQ9,MAX(0,'Start Here'!$B$10-SUM($AJ9:$AS9)-SUMPRODUCT(($Z$3:$AI$3&lt;AG$3)*($Z9:$AI9-$AJ9:$AS9))))</f>
        <v>0</v>
      </c>
      <c r="N9" s="42" t="n">
        <f aca="false">AR9+MIN(AH9-AR9,MAX(0,'Start Here'!$B$10-SUM($AJ9:$AS9)-SUMPRODUCT(($Z$3:$AI$3&lt;AH$3)*($Z9:$AI9-$AJ9:$AS9))))</f>
        <v>0</v>
      </c>
      <c r="O9" s="42" t="n">
        <f aca="false">AS9+MIN(AI9-AS9,MAX(0,'Start Here'!$B$10-SUM($AJ9:$AS9)-SUMPRODUCT(($Z$3:$AI$3&lt;AI$3)*($Z9:$AI9-$AJ9:$AS9))))</f>
        <v>0</v>
      </c>
      <c r="P9" s="42" t="n">
        <f aca="false">ROUND(Z9-F9,2)</f>
        <v>0</v>
      </c>
      <c r="Q9" s="42" t="n">
        <f aca="false">ROUND(AA9-G9,2)</f>
        <v>6112.79</v>
      </c>
      <c r="R9" s="42" t="n">
        <f aca="false">ROUND(AB9-H9,2)</f>
        <v>11243.03</v>
      </c>
      <c r="S9" s="42" t="n">
        <f aca="false">ROUND(AC9-I9,2)</f>
        <v>3700.13</v>
      </c>
      <c r="T9" s="42" t="n">
        <f aca="false">ROUND(AD9-J9,2)</f>
        <v>650</v>
      </c>
      <c r="U9" s="42" t="n">
        <f aca="false">ROUND(AE9-K9,2)</f>
        <v>17868.19</v>
      </c>
      <c r="V9" s="42" t="n">
        <f aca="false">ROUND(AF9-L9,2)</f>
        <v>0</v>
      </c>
      <c r="W9" s="42" t="n">
        <f aca="false">ROUND(AG9-M9,2)</f>
        <v>0</v>
      </c>
      <c r="X9" s="42" t="n">
        <f aca="false">ROUND(AH9-N9,2)</f>
        <v>0</v>
      </c>
      <c r="Y9" s="42" t="n">
        <f aca="false">ROUND(AI9-O9,2)</f>
        <v>0</v>
      </c>
      <c r="Z9" s="56" t="n">
        <f aca="false">ROUND(P8*(1+N(Debts!$D$5)/12),2)</f>
        <v>0</v>
      </c>
      <c r="AA9" s="56" t="n">
        <f aca="false">ROUND(Q8*(1+N(Debts!$D$6)/12),2)</f>
        <v>6617.79</v>
      </c>
      <c r="AB9" s="56" t="n">
        <f aca="false">ROUND(R8*(1+N(Debts!$D$7)/12),2)</f>
        <v>11553.03</v>
      </c>
      <c r="AC9" s="56" t="n">
        <f aca="false">ROUND(S8*(1+N(Debts!$D$8)/12),2)</f>
        <v>3845.13</v>
      </c>
      <c r="AD9" s="56" t="n">
        <f aca="false">ROUND(T8*(1+N(Debts!$D$9)/12),2)</f>
        <v>700</v>
      </c>
      <c r="AE9" s="56" t="n">
        <f aca="false">ROUND(U8*(1+N(Debts!$D$10)/12),2)</f>
        <v>18078.19</v>
      </c>
      <c r="AF9" s="56" t="n">
        <f aca="false">ROUND(V8*(1+N(Debts!$D$11)/12),2)</f>
        <v>0</v>
      </c>
      <c r="AG9" s="56" t="n">
        <f aca="false">ROUND(W8*(1+N(Debts!$D$12)/12),2)</f>
        <v>0</v>
      </c>
      <c r="AH9" s="56" t="n">
        <f aca="false">ROUND(X8*(1+N(Debts!$D$13)/12),2)</f>
        <v>0</v>
      </c>
      <c r="AI9" s="56" t="n">
        <f aca="false">ROUND(Y8*(1+N(Debts!$D$14)/12),2)</f>
        <v>0</v>
      </c>
      <c r="AJ9" s="56" t="n">
        <f aca="false">MIN(Z9,MAX(0,N(Debts!$E$5)))</f>
        <v>0</v>
      </c>
      <c r="AK9" s="56" t="n">
        <f aca="false">MIN(AA9,MAX(0,N(Debts!$E$6)))</f>
        <v>170</v>
      </c>
      <c r="AL9" s="56" t="n">
        <f aca="false">MIN(AB9,MAX(0,N(Debts!$E$7)))</f>
        <v>310</v>
      </c>
      <c r="AM9" s="56" t="n">
        <f aca="false">MIN(AC9,MAX(0,N(Debts!$E$8)))</f>
        <v>145</v>
      </c>
      <c r="AN9" s="56" t="n">
        <f aca="false">MIN(AD9,MAX(0,N(Debts!$E$9)))</f>
        <v>50</v>
      </c>
      <c r="AO9" s="56" t="n">
        <f aca="false">MIN(AE9,MAX(0,N(Debts!$E$10)))</f>
        <v>210</v>
      </c>
      <c r="AP9" s="56" t="n">
        <f aca="false">MIN(AF9,MAX(0,N(Debts!$E$11)))</f>
        <v>0</v>
      </c>
      <c r="AQ9" s="56" t="n">
        <f aca="false">MIN(AG9,MAX(0,N(Debts!$E$12)))</f>
        <v>0</v>
      </c>
      <c r="AR9" s="56" t="n">
        <f aca="false">MIN(AH9,MAX(0,N(Debts!$E$13)))</f>
        <v>0</v>
      </c>
      <c r="AS9" s="56" t="n">
        <f aca="false">MIN(AI9,MAX(0,N(Debts!$E$14)))</f>
        <v>0</v>
      </c>
    </row>
    <row r="10" customFormat="false" ht="15" hidden="false" customHeight="false" outlineLevel="0" collapsed="false">
      <c r="A10" s="53" t="n">
        <v>6</v>
      </c>
      <c r="B10" s="54" t="n">
        <f aca="false">EDATE('Start Here'!$B$8,5)</f>
        <v>46478</v>
      </c>
      <c r="C10" s="42" t="n">
        <f aca="false">SUM(F10:O10)</f>
        <v>1220</v>
      </c>
      <c r="D10" s="42" t="n">
        <f aca="false">ROUND(SUM($Z10:$AI10)-SUM(P9:Y9),2)</f>
        <v>312.11</v>
      </c>
      <c r="E10" s="55" t="n">
        <f aca="false">SUM(P10:Y10)</f>
        <v>38666.25</v>
      </c>
      <c r="F10" s="42" t="n">
        <f aca="false">AJ10+MIN(Z10-AJ10,MAX(0,'Start Here'!$B$10-SUM($AJ10:$AS10)-SUMPRODUCT(($Z$3:$AI$3&lt;Z$3)*($Z10:$AI10-$AJ10:$AS10))))</f>
        <v>0</v>
      </c>
      <c r="G10" s="42" t="n">
        <f aca="false">AK10+MIN(AA10-AK10,MAX(0,'Start Here'!$B$10-SUM($AJ10:$AS10)-SUMPRODUCT(($Z$3:$AI$3&lt;AA$3)*($Z10:$AI10-$AJ10:$AS10))))</f>
        <v>505</v>
      </c>
      <c r="H10" s="42" t="n">
        <f aca="false">AL10+MIN(AB10-AL10,MAX(0,'Start Here'!$B$10-SUM($AJ10:$AS10)-SUMPRODUCT(($Z$3:$AI$3&lt;AB$3)*($Z10:$AI10-$AJ10:$AS10))))</f>
        <v>310</v>
      </c>
      <c r="I10" s="42" t="n">
        <f aca="false">AM10+MIN(AC10-AM10,MAX(0,'Start Here'!$B$10-SUM($AJ10:$AS10)-SUMPRODUCT(($Z$3:$AI$3&lt;AC$3)*($Z10:$AI10-$AJ10:$AS10))))</f>
        <v>145</v>
      </c>
      <c r="J10" s="42" t="n">
        <f aca="false">AN10+MIN(AD10-AN10,MAX(0,'Start Here'!$B$10-SUM($AJ10:$AS10)-SUMPRODUCT(($Z$3:$AI$3&lt;AD$3)*($Z10:$AI10-$AJ10:$AS10))))</f>
        <v>50</v>
      </c>
      <c r="K10" s="42" t="n">
        <f aca="false">AO10+MIN(AE10-AO10,MAX(0,'Start Here'!$B$10-SUM($AJ10:$AS10)-SUMPRODUCT(($Z$3:$AI$3&lt;AE$3)*($Z10:$AI10-$AJ10:$AS10))))</f>
        <v>210</v>
      </c>
      <c r="L10" s="42" t="n">
        <f aca="false">AP10+MIN(AF10-AP10,MAX(0,'Start Here'!$B$10-SUM($AJ10:$AS10)-SUMPRODUCT(($Z$3:$AI$3&lt;AF$3)*($Z10:$AI10-$AJ10:$AS10))))</f>
        <v>0</v>
      </c>
      <c r="M10" s="42" t="n">
        <f aca="false">AQ10+MIN(AG10-AQ10,MAX(0,'Start Here'!$B$10-SUM($AJ10:$AS10)-SUMPRODUCT(($Z$3:$AI$3&lt;AG$3)*($Z10:$AI10-$AJ10:$AS10))))</f>
        <v>0</v>
      </c>
      <c r="N10" s="42" t="n">
        <f aca="false">AR10+MIN(AH10-AR10,MAX(0,'Start Here'!$B$10-SUM($AJ10:$AS10)-SUMPRODUCT(($Z$3:$AI$3&lt;AH$3)*($Z10:$AI10-$AJ10:$AS10))))</f>
        <v>0</v>
      </c>
      <c r="O10" s="42" t="n">
        <f aca="false">AS10+MIN(AI10-AS10,MAX(0,'Start Here'!$B$10-SUM($AJ10:$AS10)-SUMPRODUCT(($Z$3:$AI$3&lt;AI$3)*($Z10:$AI10-$AJ10:$AS10))))</f>
        <v>0</v>
      </c>
      <c r="P10" s="42" t="n">
        <f aca="false">ROUND(Z10-F10,2)</f>
        <v>0</v>
      </c>
      <c r="Q10" s="42" t="n">
        <f aca="false">ROUND(AA10-G10,2)</f>
        <v>5722.35</v>
      </c>
      <c r="R10" s="42" t="n">
        <f aca="false">ROUND(AB10-H10,2)</f>
        <v>11007.05</v>
      </c>
      <c r="S10" s="42" t="n">
        <f aca="false">ROUND(AC10-I10,2)</f>
        <v>3596.76</v>
      </c>
      <c r="T10" s="42" t="n">
        <f aca="false">ROUND(AD10-J10,2)</f>
        <v>600</v>
      </c>
      <c r="U10" s="42" t="n">
        <f aca="false">ROUND(AE10-K10,2)</f>
        <v>17740.09</v>
      </c>
      <c r="V10" s="42" t="n">
        <f aca="false">ROUND(AF10-L10,2)</f>
        <v>0</v>
      </c>
      <c r="W10" s="42" t="n">
        <f aca="false">ROUND(AG10-M10,2)</f>
        <v>0</v>
      </c>
      <c r="X10" s="42" t="n">
        <f aca="false">ROUND(AH10-N10,2)</f>
        <v>0</v>
      </c>
      <c r="Y10" s="42" t="n">
        <f aca="false">ROUND(AI10-O10,2)</f>
        <v>0</v>
      </c>
      <c r="Z10" s="56" t="n">
        <f aca="false">ROUND(P9*(1+N(Debts!$D$5)/12),2)</f>
        <v>0</v>
      </c>
      <c r="AA10" s="56" t="n">
        <f aca="false">ROUND(Q9*(1+N(Debts!$D$6)/12),2)</f>
        <v>6227.35</v>
      </c>
      <c r="AB10" s="56" t="n">
        <f aca="false">ROUND(R9*(1+N(Debts!$D$7)/12),2)</f>
        <v>11317.05</v>
      </c>
      <c r="AC10" s="56" t="n">
        <f aca="false">ROUND(S9*(1+N(Debts!$D$8)/12),2)</f>
        <v>3741.76</v>
      </c>
      <c r="AD10" s="56" t="n">
        <f aca="false">ROUND(T9*(1+N(Debts!$D$9)/12),2)</f>
        <v>650</v>
      </c>
      <c r="AE10" s="56" t="n">
        <f aca="false">ROUND(U9*(1+N(Debts!$D$10)/12),2)</f>
        <v>17950.09</v>
      </c>
      <c r="AF10" s="56" t="n">
        <f aca="false">ROUND(V9*(1+N(Debts!$D$11)/12),2)</f>
        <v>0</v>
      </c>
      <c r="AG10" s="56" t="n">
        <f aca="false">ROUND(W9*(1+N(Debts!$D$12)/12),2)</f>
        <v>0</v>
      </c>
      <c r="AH10" s="56" t="n">
        <f aca="false">ROUND(X9*(1+N(Debts!$D$13)/12),2)</f>
        <v>0</v>
      </c>
      <c r="AI10" s="56" t="n">
        <f aca="false">ROUND(Y9*(1+N(Debts!$D$14)/12),2)</f>
        <v>0</v>
      </c>
      <c r="AJ10" s="56" t="n">
        <f aca="false">MIN(Z10,MAX(0,N(Debts!$E$5)))</f>
        <v>0</v>
      </c>
      <c r="AK10" s="56" t="n">
        <f aca="false">MIN(AA10,MAX(0,N(Debts!$E$6)))</f>
        <v>170</v>
      </c>
      <c r="AL10" s="56" t="n">
        <f aca="false">MIN(AB10,MAX(0,N(Debts!$E$7)))</f>
        <v>310</v>
      </c>
      <c r="AM10" s="56" t="n">
        <f aca="false">MIN(AC10,MAX(0,N(Debts!$E$8)))</f>
        <v>145</v>
      </c>
      <c r="AN10" s="56" t="n">
        <f aca="false">MIN(AD10,MAX(0,N(Debts!$E$9)))</f>
        <v>50</v>
      </c>
      <c r="AO10" s="56" t="n">
        <f aca="false">MIN(AE10,MAX(0,N(Debts!$E$10)))</f>
        <v>210</v>
      </c>
      <c r="AP10" s="56" t="n">
        <f aca="false">MIN(AF10,MAX(0,N(Debts!$E$11)))</f>
        <v>0</v>
      </c>
      <c r="AQ10" s="56" t="n">
        <f aca="false">MIN(AG10,MAX(0,N(Debts!$E$12)))</f>
        <v>0</v>
      </c>
      <c r="AR10" s="56" t="n">
        <f aca="false">MIN(AH10,MAX(0,N(Debts!$E$13)))</f>
        <v>0</v>
      </c>
      <c r="AS10" s="56" t="n">
        <f aca="false">MIN(AI10,MAX(0,N(Debts!$E$14)))</f>
        <v>0</v>
      </c>
    </row>
    <row r="11" customFormat="false" ht="15" hidden="false" customHeight="false" outlineLevel="0" collapsed="false">
      <c r="A11" s="53" t="n">
        <v>7</v>
      </c>
      <c r="B11" s="54" t="n">
        <f aca="false">EDATE('Start Here'!$B$8,6)</f>
        <v>46508</v>
      </c>
      <c r="C11" s="42" t="n">
        <f aca="false">SUM(F11:O11)</f>
        <v>1220</v>
      </c>
      <c r="D11" s="42" t="n">
        <f aca="false">ROUND(SUM($Z11:$AI11)-SUM(P10:Y10),2)</f>
        <v>301.48</v>
      </c>
      <c r="E11" s="55" t="n">
        <f aca="false">SUM(P11:Y11)</f>
        <v>37747.73</v>
      </c>
      <c r="F11" s="42" t="n">
        <f aca="false">AJ11+MIN(Z11-AJ11,MAX(0,'Start Here'!$B$10-SUM($AJ11:$AS11)-SUMPRODUCT(($Z$3:$AI$3&lt;Z$3)*($Z11:$AI11-$AJ11:$AS11))))</f>
        <v>0</v>
      </c>
      <c r="G11" s="42" t="n">
        <f aca="false">AK11+MIN(AA11-AK11,MAX(0,'Start Here'!$B$10-SUM($AJ11:$AS11)-SUMPRODUCT(($Z$3:$AI$3&lt;AA$3)*($Z11:$AI11-$AJ11:$AS11))))</f>
        <v>505</v>
      </c>
      <c r="H11" s="42" t="n">
        <f aca="false">AL11+MIN(AB11-AL11,MAX(0,'Start Here'!$B$10-SUM($AJ11:$AS11)-SUMPRODUCT(($Z$3:$AI$3&lt;AB$3)*($Z11:$AI11-$AJ11:$AS11))))</f>
        <v>310</v>
      </c>
      <c r="I11" s="42" t="n">
        <f aca="false">AM11+MIN(AC11-AM11,MAX(0,'Start Here'!$B$10-SUM($AJ11:$AS11)-SUMPRODUCT(($Z$3:$AI$3&lt;AC$3)*($Z11:$AI11-$AJ11:$AS11))))</f>
        <v>145</v>
      </c>
      <c r="J11" s="42" t="n">
        <f aca="false">AN11+MIN(AD11-AN11,MAX(0,'Start Here'!$B$10-SUM($AJ11:$AS11)-SUMPRODUCT(($Z$3:$AI$3&lt;AD$3)*($Z11:$AI11-$AJ11:$AS11))))</f>
        <v>50</v>
      </c>
      <c r="K11" s="42" t="n">
        <f aca="false">AO11+MIN(AE11-AO11,MAX(0,'Start Here'!$B$10-SUM($AJ11:$AS11)-SUMPRODUCT(($Z$3:$AI$3&lt;AE$3)*($Z11:$AI11-$AJ11:$AS11))))</f>
        <v>210</v>
      </c>
      <c r="L11" s="42" t="n">
        <f aca="false">AP11+MIN(AF11-AP11,MAX(0,'Start Here'!$B$10-SUM($AJ11:$AS11)-SUMPRODUCT(($Z$3:$AI$3&lt;AF$3)*($Z11:$AI11-$AJ11:$AS11))))</f>
        <v>0</v>
      </c>
      <c r="M11" s="42" t="n">
        <f aca="false">AQ11+MIN(AG11-AQ11,MAX(0,'Start Here'!$B$10-SUM($AJ11:$AS11)-SUMPRODUCT(($Z$3:$AI$3&lt;AG$3)*($Z11:$AI11-$AJ11:$AS11))))</f>
        <v>0</v>
      </c>
      <c r="N11" s="42" t="n">
        <f aca="false">AR11+MIN(AH11-AR11,MAX(0,'Start Here'!$B$10-SUM($AJ11:$AS11)-SUMPRODUCT(($Z$3:$AI$3&lt;AH$3)*($Z11:$AI11-$AJ11:$AS11))))</f>
        <v>0</v>
      </c>
      <c r="O11" s="42" t="n">
        <f aca="false">AS11+MIN(AI11-AS11,MAX(0,'Start Here'!$B$10-SUM($AJ11:$AS11)-SUMPRODUCT(($Z$3:$AI$3&lt;AI$3)*($Z11:$AI11-$AJ11:$AS11))))</f>
        <v>0</v>
      </c>
      <c r="P11" s="42" t="n">
        <f aca="false">ROUND(Z11-F11,2)</f>
        <v>0</v>
      </c>
      <c r="Q11" s="42" t="n">
        <f aca="false">ROUND(AA11-G11,2)</f>
        <v>5324.6</v>
      </c>
      <c r="R11" s="42" t="n">
        <f aca="false">ROUND(AB11-H11,2)</f>
        <v>10769.51</v>
      </c>
      <c r="S11" s="42" t="n">
        <f aca="false">ROUND(AC11-I11,2)</f>
        <v>3492.22</v>
      </c>
      <c r="T11" s="42" t="n">
        <f aca="false">ROUND(AD11-J11,2)</f>
        <v>550</v>
      </c>
      <c r="U11" s="42" t="n">
        <f aca="false">ROUND(AE11-K11,2)</f>
        <v>17611.4</v>
      </c>
      <c r="V11" s="42" t="n">
        <f aca="false">ROUND(AF11-L11,2)</f>
        <v>0</v>
      </c>
      <c r="W11" s="42" t="n">
        <f aca="false">ROUND(AG11-M11,2)</f>
        <v>0</v>
      </c>
      <c r="X11" s="42" t="n">
        <f aca="false">ROUND(AH11-N11,2)</f>
        <v>0</v>
      </c>
      <c r="Y11" s="42" t="n">
        <f aca="false">ROUND(AI11-O11,2)</f>
        <v>0</v>
      </c>
      <c r="Z11" s="56" t="n">
        <f aca="false">ROUND(P10*(1+N(Debts!$D$5)/12),2)</f>
        <v>0</v>
      </c>
      <c r="AA11" s="56" t="n">
        <f aca="false">ROUND(Q10*(1+N(Debts!$D$6)/12),2)</f>
        <v>5829.6</v>
      </c>
      <c r="AB11" s="56" t="n">
        <f aca="false">ROUND(R10*(1+N(Debts!$D$7)/12),2)</f>
        <v>11079.51</v>
      </c>
      <c r="AC11" s="56" t="n">
        <f aca="false">ROUND(S10*(1+N(Debts!$D$8)/12),2)</f>
        <v>3637.22</v>
      </c>
      <c r="AD11" s="56" t="n">
        <f aca="false">ROUND(T10*(1+N(Debts!$D$9)/12),2)</f>
        <v>600</v>
      </c>
      <c r="AE11" s="56" t="n">
        <f aca="false">ROUND(U10*(1+N(Debts!$D$10)/12),2)</f>
        <v>17821.4</v>
      </c>
      <c r="AF11" s="56" t="n">
        <f aca="false">ROUND(V10*(1+N(Debts!$D$11)/12),2)</f>
        <v>0</v>
      </c>
      <c r="AG11" s="56" t="n">
        <f aca="false">ROUND(W10*(1+N(Debts!$D$12)/12),2)</f>
        <v>0</v>
      </c>
      <c r="AH11" s="56" t="n">
        <f aca="false">ROUND(X10*(1+N(Debts!$D$13)/12),2)</f>
        <v>0</v>
      </c>
      <c r="AI11" s="56" t="n">
        <f aca="false">ROUND(Y10*(1+N(Debts!$D$14)/12),2)</f>
        <v>0</v>
      </c>
      <c r="AJ11" s="56" t="n">
        <f aca="false">MIN(Z11,MAX(0,N(Debts!$E$5)))</f>
        <v>0</v>
      </c>
      <c r="AK11" s="56" t="n">
        <f aca="false">MIN(AA11,MAX(0,N(Debts!$E$6)))</f>
        <v>170</v>
      </c>
      <c r="AL11" s="56" t="n">
        <f aca="false">MIN(AB11,MAX(0,N(Debts!$E$7)))</f>
        <v>310</v>
      </c>
      <c r="AM11" s="56" t="n">
        <f aca="false">MIN(AC11,MAX(0,N(Debts!$E$8)))</f>
        <v>145</v>
      </c>
      <c r="AN11" s="56" t="n">
        <f aca="false">MIN(AD11,MAX(0,N(Debts!$E$9)))</f>
        <v>50</v>
      </c>
      <c r="AO11" s="56" t="n">
        <f aca="false">MIN(AE11,MAX(0,N(Debts!$E$10)))</f>
        <v>210</v>
      </c>
      <c r="AP11" s="56" t="n">
        <f aca="false">MIN(AF11,MAX(0,N(Debts!$E$11)))</f>
        <v>0</v>
      </c>
      <c r="AQ11" s="56" t="n">
        <f aca="false">MIN(AG11,MAX(0,N(Debts!$E$12)))</f>
        <v>0</v>
      </c>
      <c r="AR11" s="56" t="n">
        <f aca="false">MIN(AH11,MAX(0,N(Debts!$E$13)))</f>
        <v>0</v>
      </c>
      <c r="AS11" s="56" t="n">
        <f aca="false">MIN(AI11,MAX(0,N(Debts!$E$14)))</f>
        <v>0</v>
      </c>
    </row>
    <row r="12" customFormat="false" ht="15" hidden="false" customHeight="false" outlineLevel="0" collapsed="false">
      <c r="A12" s="53" t="n">
        <v>8</v>
      </c>
      <c r="B12" s="54" t="n">
        <f aca="false">EDATE('Start Here'!$B$8,7)</f>
        <v>46539</v>
      </c>
      <c r="C12" s="42" t="n">
        <f aca="false">SUM(F12:O12)</f>
        <v>1220</v>
      </c>
      <c r="D12" s="42" t="n">
        <f aca="false">ROUND(SUM($Z12:$AI12)-SUM(P11:Y11),2)</f>
        <v>290.7</v>
      </c>
      <c r="E12" s="55" t="n">
        <f aca="false">SUM(P12:Y12)</f>
        <v>36818.43</v>
      </c>
      <c r="F12" s="42" t="n">
        <f aca="false">AJ12+MIN(Z12-AJ12,MAX(0,'Start Here'!$B$10-SUM($AJ12:$AS12)-SUMPRODUCT(($Z$3:$AI$3&lt;Z$3)*($Z12:$AI12-$AJ12:$AS12))))</f>
        <v>0</v>
      </c>
      <c r="G12" s="42" t="n">
        <f aca="false">AK12+MIN(AA12-AK12,MAX(0,'Start Here'!$B$10-SUM($AJ12:$AS12)-SUMPRODUCT(($Z$3:$AI$3&lt;AA$3)*($Z12:$AI12-$AJ12:$AS12))))</f>
        <v>505</v>
      </c>
      <c r="H12" s="42" t="n">
        <f aca="false">AL12+MIN(AB12-AL12,MAX(0,'Start Here'!$B$10-SUM($AJ12:$AS12)-SUMPRODUCT(($Z$3:$AI$3&lt;AB$3)*($Z12:$AI12-$AJ12:$AS12))))</f>
        <v>310</v>
      </c>
      <c r="I12" s="42" t="n">
        <f aca="false">AM12+MIN(AC12-AM12,MAX(0,'Start Here'!$B$10-SUM($AJ12:$AS12)-SUMPRODUCT(($Z$3:$AI$3&lt;AC$3)*($Z12:$AI12-$AJ12:$AS12))))</f>
        <v>145</v>
      </c>
      <c r="J12" s="42" t="n">
        <f aca="false">AN12+MIN(AD12-AN12,MAX(0,'Start Here'!$B$10-SUM($AJ12:$AS12)-SUMPRODUCT(($Z$3:$AI$3&lt;AD$3)*($Z12:$AI12-$AJ12:$AS12))))</f>
        <v>50</v>
      </c>
      <c r="K12" s="42" t="n">
        <f aca="false">AO12+MIN(AE12-AO12,MAX(0,'Start Here'!$B$10-SUM($AJ12:$AS12)-SUMPRODUCT(($Z$3:$AI$3&lt;AE$3)*($Z12:$AI12-$AJ12:$AS12))))</f>
        <v>210</v>
      </c>
      <c r="L12" s="42" t="n">
        <f aca="false">AP12+MIN(AF12-AP12,MAX(0,'Start Here'!$B$10-SUM($AJ12:$AS12)-SUMPRODUCT(($Z$3:$AI$3&lt;AF$3)*($Z12:$AI12-$AJ12:$AS12))))</f>
        <v>0</v>
      </c>
      <c r="M12" s="42" t="n">
        <f aca="false">AQ12+MIN(AG12-AQ12,MAX(0,'Start Here'!$B$10-SUM($AJ12:$AS12)-SUMPRODUCT(($Z$3:$AI$3&lt;AG$3)*($Z12:$AI12-$AJ12:$AS12))))</f>
        <v>0</v>
      </c>
      <c r="N12" s="42" t="n">
        <f aca="false">AR12+MIN(AH12-AR12,MAX(0,'Start Here'!$B$10-SUM($AJ12:$AS12)-SUMPRODUCT(($Z$3:$AI$3&lt;AH$3)*($Z12:$AI12-$AJ12:$AS12))))</f>
        <v>0</v>
      </c>
      <c r="O12" s="42" t="n">
        <f aca="false">AS12+MIN(AI12-AS12,MAX(0,'Start Here'!$B$10-SUM($AJ12:$AS12)-SUMPRODUCT(($Z$3:$AI$3&lt;AI$3)*($Z12:$AI12-$AJ12:$AS12))))</f>
        <v>0</v>
      </c>
      <c r="P12" s="42" t="n">
        <f aca="false">ROUND(Z12-F12,2)</f>
        <v>0</v>
      </c>
      <c r="Q12" s="42" t="n">
        <f aca="false">ROUND(AA12-G12,2)</f>
        <v>4919.39</v>
      </c>
      <c r="R12" s="42" t="n">
        <f aca="false">ROUND(AB12-H12,2)</f>
        <v>10530.41</v>
      </c>
      <c r="S12" s="42" t="n">
        <f aca="false">ROUND(AC12-I12,2)</f>
        <v>3386.51</v>
      </c>
      <c r="T12" s="42" t="n">
        <f aca="false">ROUND(AD12-J12,2)</f>
        <v>500</v>
      </c>
      <c r="U12" s="42" t="n">
        <f aca="false">ROUND(AE12-K12,2)</f>
        <v>17482.12</v>
      </c>
      <c r="V12" s="42" t="n">
        <f aca="false">ROUND(AF12-L12,2)</f>
        <v>0</v>
      </c>
      <c r="W12" s="42" t="n">
        <f aca="false">ROUND(AG12-M12,2)</f>
        <v>0</v>
      </c>
      <c r="X12" s="42" t="n">
        <f aca="false">ROUND(AH12-N12,2)</f>
        <v>0</v>
      </c>
      <c r="Y12" s="42" t="n">
        <f aca="false">ROUND(AI12-O12,2)</f>
        <v>0</v>
      </c>
      <c r="Z12" s="56" t="n">
        <f aca="false">ROUND(P11*(1+N(Debts!$D$5)/12),2)</f>
        <v>0</v>
      </c>
      <c r="AA12" s="56" t="n">
        <f aca="false">ROUND(Q11*(1+N(Debts!$D$6)/12),2)</f>
        <v>5424.39</v>
      </c>
      <c r="AB12" s="56" t="n">
        <f aca="false">ROUND(R11*(1+N(Debts!$D$7)/12),2)</f>
        <v>10840.41</v>
      </c>
      <c r="AC12" s="56" t="n">
        <f aca="false">ROUND(S11*(1+N(Debts!$D$8)/12),2)</f>
        <v>3531.51</v>
      </c>
      <c r="AD12" s="56" t="n">
        <f aca="false">ROUND(T11*(1+N(Debts!$D$9)/12),2)</f>
        <v>550</v>
      </c>
      <c r="AE12" s="56" t="n">
        <f aca="false">ROUND(U11*(1+N(Debts!$D$10)/12),2)</f>
        <v>17692.12</v>
      </c>
      <c r="AF12" s="56" t="n">
        <f aca="false">ROUND(V11*(1+N(Debts!$D$11)/12),2)</f>
        <v>0</v>
      </c>
      <c r="AG12" s="56" t="n">
        <f aca="false">ROUND(W11*(1+N(Debts!$D$12)/12),2)</f>
        <v>0</v>
      </c>
      <c r="AH12" s="56" t="n">
        <f aca="false">ROUND(X11*(1+N(Debts!$D$13)/12),2)</f>
        <v>0</v>
      </c>
      <c r="AI12" s="56" t="n">
        <f aca="false">ROUND(Y11*(1+N(Debts!$D$14)/12),2)</f>
        <v>0</v>
      </c>
      <c r="AJ12" s="56" t="n">
        <f aca="false">MIN(Z12,MAX(0,N(Debts!$E$5)))</f>
        <v>0</v>
      </c>
      <c r="AK12" s="56" t="n">
        <f aca="false">MIN(AA12,MAX(0,N(Debts!$E$6)))</f>
        <v>170</v>
      </c>
      <c r="AL12" s="56" t="n">
        <f aca="false">MIN(AB12,MAX(0,N(Debts!$E$7)))</f>
        <v>310</v>
      </c>
      <c r="AM12" s="56" t="n">
        <f aca="false">MIN(AC12,MAX(0,N(Debts!$E$8)))</f>
        <v>145</v>
      </c>
      <c r="AN12" s="56" t="n">
        <f aca="false">MIN(AD12,MAX(0,N(Debts!$E$9)))</f>
        <v>50</v>
      </c>
      <c r="AO12" s="56" t="n">
        <f aca="false">MIN(AE12,MAX(0,N(Debts!$E$10)))</f>
        <v>210</v>
      </c>
      <c r="AP12" s="56" t="n">
        <f aca="false">MIN(AF12,MAX(0,N(Debts!$E$11)))</f>
        <v>0</v>
      </c>
      <c r="AQ12" s="56" t="n">
        <f aca="false">MIN(AG12,MAX(0,N(Debts!$E$12)))</f>
        <v>0</v>
      </c>
      <c r="AR12" s="56" t="n">
        <f aca="false">MIN(AH12,MAX(0,N(Debts!$E$13)))</f>
        <v>0</v>
      </c>
      <c r="AS12" s="56" t="n">
        <f aca="false">MIN(AI12,MAX(0,N(Debts!$E$14)))</f>
        <v>0</v>
      </c>
    </row>
    <row r="13" customFormat="false" ht="15" hidden="false" customHeight="false" outlineLevel="0" collapsed="false">
      <c r="A13" s="53" t="n">
        <v>9</v>
      </c>
      <c r="B13" s="54" t="n">
        <f aca="false">EDATE('Start Here'!$B$8,8)</f>
        <v>46569</v>
      </c>
      <c r="C13" s="42" t="n">
        <f aca="false">SUM(F13:O13)</f>
        <v>1220</v>
      </c>
      <c r="D13" s="42" t="n">
        <f aca="false">ROUND(SUM($Z13:$AI13)-SUM(P12:Y12),2)</f>
        <v>279.76</v>
      </c>
      <c r="E13" s="55" t="n">
        <f aca="false">SUM(P13:Y13)</f>
        <v>35878.19</v>
      </c>
      <c r="F13" s="42" t="n">
        <f aca="false">AJ13+MIN(Z13-AJ13,MAX(0,'Start Here'!$B$10-SUM($AJ13:$AS13)-SUMPRODUCT(($Z$3:$AI$3&lt;Z$3)*($Z13:$AI13-$AJ13:$AS13))))</f>
        <v>0</v>
      </c>
      <c r="G13" s="42" t="n">
        <f aca="false">AK13+MIN(AA13-AK13,MAX(0,'Start Here'!$B$10-SUM($AJ13:$AS13)-SUMPRODUCT(($Z$3:$AI$3&lt;AA$3)*($Z13:$AI13-$AJ13:$AS13))))</f>
        <v>505</v>
      </c>
      <c r="H13" s="42" t="n">
        <f aca="false">AL13+MIN(AB13-AL13,MAX(0,'Start Here'!$B$10-SUM($AJ13:$AS13)-SUMPRODUCT(($Z$3:$AI$3&lt;AB$3)*($Z13:$AI13-$AJ13:$AS13))))</f>
        <v>310</v>
      </c>
      <c r="I13" s="42" t="n">
        <f aca="false">AM13+MIN(AC13-AM13,MAX(0,'Start Here'!$B$10-SUM($AJ13:$AS13)-SUMPRODUCT(($Z$3:$AI$3&lt;AC$3)*($Z13:$AI13-$AJ13:$AS13))))</f>
        <v>145</v>
      </c>
      <c r="J13" s="42" t="n">
        <f aca="false">AN13+MIN(AD13-AN13,MAX(0,'Start Here'!$B$10-SUM($AJ13:$AS13)-SUMPRODUCT(($Z$3:$AI$3&lt;AD$3)*($Z13:$AI13-$AJ13:$AS13))))</f>
        <v>50</v>
      </c>
      <c r="K13" s="42" t="n">
        <f aca="false">AO13+MIN(AE13-AO13,MAX(0,'Start Here'!$B$10-SUM($AJ13:$AS13)-SUMPRODUCT(($Z$3:$AI$3&lt;AE$3)*($Z13:$AI13-$AJ13:$AS13))))</f>
        <v>210</v>
      </c>
      <c r="L13" s="42" t="n">
        <f aca="false">AP13+MIN(AF13-AP13,MAX(0,'Start Here'!$B$10-SUM($AJ13:$AS13)-SUMPRODUCT(($Z$3:$AI$3&lt;AF$3)*($Z13:$AI13-$AJ13:$AS13))))</f>
        <v>0</v>
      </c>
      <c r="M13" s="42" t="n">
        <f aca="false">AQ13+MIN(AG13-AQ13,MAX(0,'Start Here'!$B$10-SUM($AJ13:$AS13)-SUMPRODUCT(($Z$3:$AI$3&lt;AG$3)*($Z13:$AI13-$AJ13:$AS13))))</f>
        <v>0</v>
      </c>
      <c r="N13" s="42" t="n">
        <f aca="false">AR13+MIN(AH13-AR13,MAX(0,'Start Here'!$B$10-SUM($AJ13:$AS13)-SUMPRODUCT(($Z$3:$AI$3&lt;AH$3)*($Z13:$AI13-$AJ13:$AS13))))</f>
        <v>0</v>
      </c>
      <c r="O13" s="42" t="n">
        <f aca="false">AS13+MIN(AI13-AS13,MAX(0,'Start Here'!$B$10-SUM($AJ13:$AS13)-SUMPRODUCT(($Z$3:$AI$3&lt;AI$3)*($Z13:$AI13-$AJ13:$AS13))))</f>
        <v>0</v>
      </c>
      <c r="P13" s="42" t="n">
        <f aca="false">ROUND(Z13-F13,2)</f>
        <v>0</v>
      </c>
      <c r="Q13" s="42" t="n">
        <f aca="false">ROUND(AA13-G13,2)</f>
        <v>4506.59</v>
      </c>
      <c r="R13" s="42" t="n">
        <f aca="false">ROUND(AB13-H13,2)</f>
        <v>10289.74</v>
      </c>
      <c r="S13" s="42" t="n">
        <f aca="false">ROUND(AC13-I13,2)</f>
        <v>3279.61</v>
      </c>
      <c r="T13" s="42" t="n">
        <f aca="false">ROUND(AD13-J13,2)</f>
        <v>450</v>
      </c>
      <c r="U13" s="42" t="n">
        <f aca="false">ROUND(AE13-K13,2)</f>
        <v>17352.25</v>
      </c>
      <c r="V13" s="42" t="n">
        <f aca="false">ROUND(AF13-L13,2)</f>
        <v>0</v>
      </c>
      <c r="W13" s="42" t="n">
        <f aca="false">ROUND(AG13-M13,2)</f>
        <v>0</v>
      </c>
      <c r="X13" s="42" t="n">
        <f aca="false">ROUND(AH13-N13,2)</f>
        <v>0</v>
      </c>
      <c r="Y13" s="42" t="n">
        <f aca="false">ROUND(AI13-O13,2)</f>
        <v>0</v>
      </c>
      <c r="Z13" s="56" t="n">
        <f aca="false">ROUND(P12*(1+N(Debts!$D$5)/12),2)</f>
        <v>0</v>
      </c>
      <c r="AA13" s="56" t="n">
        <f aca="false">ROUND(Q12*(1+N(Debts!$D$6)/12),2)</f>
        <v>5011.59</v>
      </c>
      <c r="AB13" s="56" t="n">
        <f aca="false">ROUND(R12*(1+N(Debts!$D$7)/12),2)</f>
        <v>10599.74</v>
      </c>
      <c r="AC13" s="56" t="n">
        <f aca="false">ROUND(S12*(1+N(Debts!$D$8)/12),2)</f>
        <v>3424.61</v>
      </c>
      <c r="AD13" s="56" t="n">
        <f aca="false">ROUND(T12*(1+N(Debts!$D$9)/12),2)</f>
        <v>500</v>
      </c>
      <c r="AE13" s="56" t="n">
        <f aca="false">ROUND(U12*(1+N(Debts!$D$10)/12),2)</f>
        <v>17562.25</v>
      </c>
      <c r="AF13" s="56" t="n">
        <f aca="false">ROUND(V12*(1+N(Debts!$D$11)/12),2)</f>
        <v>0</v>
      </c>
      <c r="AG13" s="56" t="n">
        <f aca="false">ROUND(W12*(1+N(Debts!$D$12)/12),2)</f>
        <v>0</v>
      </c>
      <c r="AH13" s="56" t="n">
        <f aca="false">ROUND(X12*(1+N(Debts!$D$13)/12),2)</f>
        <v>0</v>
      </c>
      <c r="AI13" s="56" t="n">
        <f aca="false">ROUND(Y12*(1+N(Debts!$D$14)/12),2)</f>
        <v>0</v>
      </c>
      <c r="AJ13" s="56" t="n">
        <f aca="false">MIN(Z13,MAX(0,N(Debts!$E$5)))</f>
        <v>0</v>
      </c>
      <c r="AK13" s="56" t="n">
        <f aca="false">MIN(AA13,MAX(0,N(Debts!$E$6)))</f>
        <v>170</v>
      </c>
      <c r="AL13" s="56" t="n">
        <f aca="false">MIN(AB13,MAX(0,N(Debts!$E$7)))</f>
        <v>310</v>
      </c>
      <c r="AM13" s="56" t="n">
        <f aca="false">MIN(AC13,MAX(0,N(Debts!$E$8)))</f>
        <v>145</v>
      </c>
      <c r="AN13" s="56" t="n">
        <f aca="false">MIN(AD13,MAX(0,N(Debts!$E$9)))</f>
        <v>50</v>
      </c>
      <c r="AO13" s="56" t="n">
        <f aca="false">MIN(AE13,MAX(0,N(Debts!$E$10)))</f>
        <v>210</v>
      </c>
      <c r="AP13" s="56" t="n">
        <f aca="false">MIN(AF13,MAX(0,N(Debts!$E$11)))</f>
        <v>0</v>
      </c>
      <c r="AQ13" s="56" t="n">
        <f aca="false">MIN(AG13,MAX(0,N(Debts!$E$12)))</f>
        <v>0</v>
      </c>
      <c r="AR13" s="56" t="n">
        <f aca="false">MIN(AH13,MAX(0,N(Debts!$E$13)))</f>
        <v>0</v>
      </c>
      <c r="AS13" s="56" t="n">
        <f aca="false">MIN(AI13,MAX(0,N(Debts!$E$14)))</f>
        <v>0</v>
      </c>
    </row>
    <row r="14" customFormat="false" ht="15" hidden="false" customHeight="false" outlineLevel="0" collapsed="false">
      <c r="A14" s="53" t="n">
        <v>10</v>
      </c>
      <c r="B14" s="54" t="n">
        <f aca="false">EDATE('Start Here'!$B$8,9)</f>
        <v>46600</v>
      </c>
      <c r="C14" s="42" t="n">
        <f aca="false">SUM(F14:O14)</f>
        <v>1220</v>
      </c>
      <c r="D14" s="42" t="n">
        <f aca="false">ROUND(SUM($Z14:$AI14)-SUM(P13:Y13),2)</f>
        <v>268.63</v>
      </c>
      <c r="E14" s="55" t="n">
        <f aca="false">SUM(P14:Y14)</f>
        <v>34926.82</v>
      </c>
      <c r="F14" s="42" t="n">
        <f aca="false">AJ14+MIN(Z14-AJ14,MAX(0,'Start Here'!$B$10-SUM($AJ14:$AS14)-SUMPRODUCT(($Z$3:$AI$3&lt;Z$3)*($Z14:$AI14-$AJ14:$AS14))))</f>
        <v>0</v>
      </c>
      <c r="G14" s="42" t="n">
        <f aca="false">AK14+MIN(AA14-AK14,MAX(0,'Start Here'!$B$10-SUM($AJ14:$AS14)-SUMPRODUCT(($Z$3:$AI$3&lt;AA$3)*($Z14:$AI14-$AJ14:$AS14))))</f>
        <v>505</v>
      </c>
      <c r="H14" s="42" t="n">
        <f aca="false">AL14+MIN(AB14-AL14,MAX(0,'Start Here'!$B$10-SUM($AJ14:$AS14)-SUMPRODUCT(($Z$3:$AI$3&lt;AB$3)*($Z14:$AI14-$AJ14:$AS14))))</f>
        <v>310</v>
      </c>
      <c r="I14" s="42" t="n">
        <f aca="false">AM14+MIN(AC14-AM14,MAX(0,'Start Here'!$B$10-SUM($AJ14:$AS14)-SUMPRODUCT(($Z$3:$AI$3&lt;AC$3)*($Z14:$AI14-$AJ14:$AS14))))</f>
        <v>145</v>
      </c>
      <c r="J14" s="42" t="n">
        <f aca="false">AN14+MIN(AD14-AN14,MAX(0,'Start Here'!$B$10-SUM($AJ14:$AS14)-SUMPRODUCT(($Z$3:$AI$3&lt;AD$3)*($Z14:$AI14-$AJ14:$AS14))))</f>
        <v>50</v>
      </c>
      <c r="K14" s="42" t="n">
        <f aca="false">AO14+MIN(AE14-AO14,MAX(0,'Start Here'!$B$10-SUM($AJ14:$AS14)-SUMPRODUCT(($Z$3:$AI$3&lt;AE$3)*($Z14:$AI14-$AJ14:$AS14))))</f>
        <v>210</v>
      </c>
      <c r="L14" s="42" t="n">
        <f aca="false">AP14+MIN(AF14-AP14,MAX(0,'Start Here'!$B$10-SUM($AJ14:$AS14)-SUMPRODUCT(($Z$3:$AI$3&lt;AF$3)*($Z14:$AI14-$AJ14:$AS14))))</f>
        <v>0</v>
      </c>
      <c r="M14" s="42" t="n">
        <f aca="false">AQ14+MIN(AG14-AQ14,MAX(0,'Start Here'!$B$10-SUM($AJ14:$AS14)-SUMPRODUCT(($Z$3:$AI$3&lt;AG$3)*($Z14:$AI14-$AJ14:$AS14))))</f>
        <v>0</v>
      </c>
      <c r="N14" s="42" t="n">
        <f aca="false">AR14+MIN(AH14-AR14,MAX(0,'Start Here'!$B$10-SUM($AJ14:$AS14)-SUMPRODUCT(($Z$3:$AI$3&lt;AH$3)*($Z14:$AI14-$AJ14:$AS14))))</f>
        <v>0</v>
      </c>
      <c r="O14" s="42" t="n">
        <f aca="false">AS14+MIN(AI14-AS14,MAX(0,'Start Here'!$B$10-SUM($AJ14:$AS14)-SUMPRODUCT(($Z$3:$AI$3&lt;AI$3)*($Z14:$AI14-$AJ14:$AS14))))</f>
        <v>0</v>
      </c>
      <c r="P14" s="42" t="n">
        <f aca="false">ROUND(Z14-F14,2)</f>
        <v>0</v>
      </c>
      <c r="Q14" s="42" t="n">
        <f aca="false">ROUND(AA14-G14,2)</f>
        <v>4086.05</v>
      </c>
      <c r="R14" s="42" t="n">
        <f aca="false">ROUND(AB14-H14,2)</f>
        <v>10047.48</v>
      </c>
      <c r="S14" s="42" t="n">
        <f aca="false">ROUND(AC14-I14,2)</f>
        <v>3171.51</v>
      </c>
      <c r="T14" s="42" t="n">
        <f aca="false">ROUND(AD14-J14,2)</f>
        <v>400</v>
      </c>
      <c r="U14" s="42" t="n">
        <f aca="false">ROUND(AE14-K14,2)</f>
        <v>17221.78</v>
      </c>
      <c r="V14" s="42" t="n">
        <f aca="false">ROUND(AF14-L14,2)</f>
        <v>0</v>
      </c>
      <c r="W14" s="42" t="n">
        <f aca="false">ROUND(AG14-M14,2)</f>
        <v>0</v>
      </c>
      <c r="X14" s="42" t="n">
        <f aca="false">ROUND(AH14-N14,2)</f>
        <v>0</v>
      </c>
      <c r="Y14" s="42" t="n">
        <f aca="false">ROUND(AI14-O14,2)</f>
        <v>0</v>
      </c>
      <c r="Z14" s="56" t="n">
        <f aca="false">ROUND(P13*(1+N(Debts!$D$5)/12),2)</f>
        <v>0</v>
      </c>
      <c r="AA14" s="56" t="n">
        <f aca="false">ROUND(Q13*(1+N(Debts!$D$6)/12),2)</f>
        <v>4591.05</v>
      </c>
      <c r="AB14" s="56" t="n">
        <f aca="false">ROUND(R13*(1+N(Debts!$D$7)/12),2)</f>
        <v>10357.48</v>
      </c>
      <c r="AC14" s="56" t="n">
        <f aca="false">ROUND(S13*(1+N(Debts!$D$8)/12),2)</f>
        <v>3316.51</v>
      </c>
      <c r="AD14" s="56" t="n">
        <f aca="false">ROUND(T13*(1+N(Debts!$D$9)/12),2)</f>
        <v>450</v>
      </c>
      <c r="AE14" s="56" t="n">
        <f aca="false">ROUND(U13*(1+N(Debts!$D$10)/12),2)</f>
        <v>17431.78</v>
      </c>
      <c r="AF14" s="56" t="n">
        <f aca="false">ROUND(V13*(1+N(Debts!$D$11)/12),2)</f>
        <v>0</v>
      </c>
      <c r="AG14" s="56" t="n">
        <f aca="false">ROUND(W13*(1+N(Debts!$D$12)/12),2)</f>
        <v>0</v>
      </c>
      <c r="AH14" s="56" t="n">
        <f aca="false">ROUND(X13*(1+N(Debts!$D$13)/12),2)</f>
        <v>0</v>
      </c>
      <c r="AI14" s="56" t="n">
        <f aca="false">ROUND(Y13*(1+N(Debts!$D$14)/12),2)</f>
        <v>0</v>
      </c>
      <c r="AJ14" s="56" t="n">
        <f aca="false">MIN(Z14,MAX(0,N(Debts!$E$5)))</f>
        <v>0</v>
      </c>
      <c r="AK14" s="56" t="n">
        <f aca="false">MIN(AA14,MAX(0,N(Debts!$E$6)))</f>
        <v>170</v>
      </c>
      <c r="AL14" s="56" t="n">
        <f aca="false">MIN(AB14,MAX(0,N(Debts!$E$7)))</f>
        <v>310</v>
      </c>
      <c r="AM14" s="56" t="n">
        <f aca="false">MIN(AC14,MAX(0,N(Debts!$E$8)))</f>
        <v>145</v>
      </c>
      <c r="AN14" s="56" t="n">
        <f aca="false">MIN(AD14,MAX(0,N(Debts!$E$9)))</f>
        <v>50</v>
      </c>
      <c r="AO14" s="56" t="n">
        <f aca="false">MIN(AE14,MAX(0,N(Debts!$E$10)))</f>
        <v>210</v>
      </c>
      <c r="AP14" s="56" t="n">
        <f aca="false">MIN(AF14,MAX(0,N(Debts!$E$11)))</f>
        <v>0</v>
      </c>
      <c r="AQ14" s="56" t="n">
        <f aca="false">MIN(AG14,MAX(0,N(Debts!$E$12)))</f>
        <v>0</v>
      </c>
      <c r="AR14" s="56" t="n">
        <f aca="false">MIN(AH14,MAX(0,N(Debts!$E$13)))</f>
        <v>0</v>
      </c>
      <c r="AS14" s="56" t="n">
        <f aca="false">MIN(AI14,MAX(0,N(Debts!$E$14)))</f>
        <v>0</v>
      </c>
    </row>
    <row r="15" customFormat="false" ht="15" hidden="false" customHeight="false" outlineLevel="0" collapsed="false">
      <c r="A15" s="53" t="n">
        <v>11</v>
      </c>
      <c r="B15" s="54" t="n">
        <f aca="false">EDATE('Start Here'!$B$8,10)</f>
        <v>46631</v>
      </c>
      <c r="C15" s="42" t="n">
        <f aca="false">SUM(F15:O15)</f>
        <v>1220</v>
      </c>
      <c r="D15" s="42" t="n">
        <f aca="false">ROUND(SUM($Z15:$AI15)-SUM(P14:Y14),2)</f>
        <v>257.34</v>
      </c>
      <c r="E15" s="55" t="n">
        <f aca="false">SUM(P15:Y15)</f>
        <v>33964.16</v>
      </c>
      <c r="F15" s="42" t="n">
        <f aca="false">AJ15+MIN(Z15-AJ15,MAX(0,'Start Here'!$B$10-SUM($AJ15:$AS15)-SUMPRODUCT(($Z$3:$AI$3&lt;Z$3)*($Z15:$AI15-$AJ15:$AS15))))</f>
        <v>0</v>
      </c>
      <c r="G15" s="42" t="n">
        <f aca="false">AK15+MIN(AA15-AK15,MAX(0,'Start Here'!$B$10-SUM($AJ15:$AS15)-SUMPRODUCT(($Z$3:$AI$3&lt;AA$3)*($Z15:$AI15-$AJ15:$AS15))))</f>
        <v>505</v>
      </c>
      <c r="H15" s="42" t="n">
        <f aca="false">AL15+MIN(AB15-AL15,MAX(0,'Start Here'!$B$10-SUM($AJ15:$AS15)-SUMPRODUCT(($Z$3:$AI$3&lt;AB$3)*($Z15:$AI15-$AJ15:$AS15))))</f>
        <v>310</v>
      </c>
      <c r="I15" s="42" t="n">
        <f aca="false">AM15+MIN(AC15-AM15,MAX(0,'Start Here'!$B$10-SUM($AJ15:$AS15)-SUMPRODUCT(($Z$3:$AI$3&lt;AC$3)*($Z15:$AI15-$AJ15:$AS15))))</f>
        <v>145</v>
      </c>
      <c r="J15" s="42" t="n">
        <f aca="false">AN15+MIN(AD15-AN15,MAX(0,'Start Here'!$B$10-SUM($AJ15:$AS15)-SUMPRODUCT(($Z$3:$AI$3&lt;AD$3)*($Z15:$AI15-$AJ15:$AS15))))</f>
        <v>50</v>
      </c>
      <c r="K15" s="42" t="n">
        <f aca="false">AO15+MIN(AE15-AO15,MAX(0,'Start Here'!$B$10-SUM($AJ15:$AS15)-SUMPRODUCT(($Z$3:$AI$3&lt;AE$3)*($Z15:$AI15-$AJ15:$AS15))))</f>
        <v>210</v>
      </c>
      <c r="L15" s="42" t="n">
        <f aca="false">AP15+MIN(AF15-AP15,MAX(0,'Start Here'!$B$10-SUM($AJ15:$AS15)-SUMPRODUCT(($Z$3:$AI$3&lt;AF$3)*($Z15:$AI15-$AJ15:$AS15))))</f>
        <v>0</v>
      </c>
      <c r="M15" s="42" t="n">
        <f aca="false">AQ15+MIN(AG15-AQ15,MAX(0,'Start Here'!$B$10-SUM($AJ15:$AS15)-SUMPRODUCT(($Z$3:$AI$3&lt;AG$3)*($Z15:$AI15-$AJ15:$AS15))))</f>
        <v>0</v>
      </c>
      <c r="N15" s="42" t="n">
        <f aca="false">AR15+MIN(AH15-AR15,MAX(0,'Start Here'!$B$10-SUM($AJ15:$AS15)-SUMPRODUCT(($Z$3:$AI$3&lt;AH$3)*($Z15:$AI15-$AJ15:$AS15))))</f>
        <v>0</v>
      </c>
      <c r="O15" s="42" t="n">
        <f aca="false">AS15+MIN(AI15-AS15,MAX(0,'Start Here'!$B$10-SUM($AJ15:$AS15)-SUMPRODUCT(($Z$3:$AI$3&lt;AI$3)*($Z15:$AI15-$AJ15:$AS15))))</f>
        <v>0</v>
      </c>
      <c r="P15" s="42" t="n">
        <f aca="false">ROUND(Z15-F15,2)</f>
        <v>0</v>
      </c>
      <c r="Q15" s="42" t="n">
        <f aca="false">ROUND(AA15-G15,2)</f>
        <v>3657.63</v>
      </c>
      <c r="R15" s="42" t="n">
        <f aca="false">ROUND(AB15-H15,2)</f>
        <v>9803.63</v>
      </c>
      <c r="S15" s="42" t="n">
        <f aca="false">ROUND(AC15-I15,2)</f>
        <v>3062.19</v>
      </c>
      <c r="T15" s="42" t="n">
        <f aca="false">ROUND(AD15-J15,2)</f>
        <v>350</v>
      </c>
      <c r="U15" s="42" t="n">
        <f aca="false">ROUND(AE15-K15,2)</f>
        <v>17090.71</v>
      </c>
      <c r="V15" s="42" t="n">
        <f aca="false">ROUND(AF15-L15,2)</f>
        <v>0</v>
      </c>
      <c r="W15" s="42" t="n">
        <f aca="false">ROUND(AG15-M15,2)</f>
        <v>0</v>
      </c>
      <c r="X15" s="42" t="n">
        <f aca="false">ROUND(AH15-N15,2)</f>
        <v>0</v>
      </c>
      <c r="Y15" s="42" t="n">
        <f aca="false">ROUND(AI15-O15,2)</f>
        <v>0</v>
      </c>
      <c r="Z15" s="56" t="n">
        <f aca="false">ROUND(P14*(1+N(Debts!$D$5)/12),2)</f>
        <v>0</v>
      </c>
      <c r="AA15" s="56" t="n">
        <f aca="false">ROUND(Q14*(1+N(Debts!$D$6)/12),2)</f>
        <v>4162.63</v>
      </c>
      <c r="AB15" s="56" t="n">
        <f aca="false">ROUND(R14*(1+N(Debts!$D$7)/12),2)</f>
        <v>10113.63</v>
      </c>
      <c r="AC15" s="56" t="n">
        <f aca="false">ROUND(S14*(1+N(Debts!$D$8)/12),2)</f>
        <v>3207.19</v>
      </c>
      <c r="AD15" s="56" t="n">
        <f aca="false">ROUND(T14*(1+N(Debts!$D$9)/12),2)</f>
        <v>400</v>
      </c>
      <c r="AE15" s="56" t="n">
        <f aca="false">ROUND(U14*(1+N(Debts!$D$10)/12),2)</f>
        <v>17300.71</v>
      </c>
      <c r="AF15" s="56" t="n">
        <f aca="false">ROUND(V14*(1+N(Debts!$D$11)/12),2)</f>
        <v>0</v>
      </c>
      <c r="AG15" s="56" t="n">
        <f aca="false">ROUND(W14*(1+N(Debts!$D$12)/12),2)</f>
        <v>0</v>
      </c>
      <c r="AH15" s="56" t="n">
        <f aca="false">ROUND(X14*(1+N(Debts!$D$13)/12),2)</f>
        <v>0</v>
      </c>
      <c r="AI15" s="56" t="n">
        <f aca="false">ROUND(Y14*(1+N(Debts!$D$14)/12),2)</f>
        <v>0</v>
      </c>
      <c r="AJ15" s="56" t="n">
        <f aca="false">MIN(Z15,MAX(0,N(Debts!$E$5)))</f>
        <v>0</v>
      </c>
      <c r="AK15" s="56" t="n">
        <f aca="false">MIN(AA15,MAX(0,N(Debts!$E$6)))</f>
        <v>170</v>
      </c>
      <c r="AL15" s="56" t="n">
        <f aca="false">MIN(AB15,MAX(0,N(Debts!$E$7)))</f>
        <v>310</v>
      </c>
      <c r="AM15" s="56" t="n">
        <f aca="false">MIN(AC15,MAX(0,N(Debts!$E$8)))</f>
        <v>145</v>
      </c>
      <c r="AN15" s="56" t="n">
        <f aca="false">MIN(AD15,MAX(0,N(Debts!$E$9)))</f>
        <v>50</v>
      </c>
      <c r="AO15" s="56" t="n">
        <f aca="false">MIN(AE15,MAX(0,N(Debts!$E$10)))</f>
        <v>210</v>
      </c>
      <c r="AP15" s="56" t="n">
        <f aca="false">MIN(AF15,MAX(0,N(Debts!$E$11)))</f>
        <v>0</v>
      </c>
      <c r="AQ15" s="56" t="n">
        <f aca="false">MIN(AG15,MAX(0,N(Debts!$E$12)))</f>
        <v>0</v>
      </c>
      <c r="AR15" s="56" t="n">
        <f aca="false">MIN(AH15,MAX(0,N(Debts!$E$13)))</f>
        <v>0</v>
      </c>
      <c r="AS15" s="56" t="n">
        <f aca="false">MIN(AI15,MAX(0,N(Debts!$E$14)))</f>
        <v>0</v>
      </c>
    </row>
    <row r="16" customFormat="false" ht="15" hidden="false" customHeight="false" outlineLevel="0" collapsed="false">
      <c r="A16" s="53" t="n">
        <v>12</v>
      </c>
      <c r="B16" s="54" t="n">
        <f aca="false">EDATE('Start Here'!$B$8,11)</f>
        <v>46661</v>
      </c>
      <c r="C16" s="42" t="n">
        <f aca="false">SUM(F16:O16)</f>
        <v>1220</v>
      </c>
      <c r="D16" s="42" t="n">
        <f aca="false">ROUND(SUM($Z16:$AI16)-SUM(P15:Y15),2)</f>
        <v>245.87</v>
      </c>
      <c r="E16" s="55" t="n">
        <f aca="false">SUM(P16:Y16)</f>
        <v>32990.03</v>
      </c>
      <c r="F16" s="42" t="n">
        <f aca="false">AJ16+MIN(Z16-AJ16,MAX(0,'Start Here'!$B$10-SUM($AJ16:$AS16)-SUMPRODUCT(($Z$3:$AI$3&lt;Z$3)*($Z16:$AI16-$AJ16:$AS16))))</f>
        <v>0</v>
      </c>
      <c r="G16" s="42" t="n">
        <f aca="false">AK16+MIN(AA16-AK16,MAX(0,'Start Here'!$B$10-SUM($AJ16:$AS16)-SUMPRODUCT(($Z$3:$AI$3&lt;AA$3)*($Z16:$AI16-$AJ16:$AS16))))</f>
        <v>505</v>
      </c>
      <c r="H16" s="42" t="n">
        <f aca="false">AL16+MIN(AB16-AL16,MAX(0,'Start Here'!$B$10-SUM($AJ16:$AS16)-SUMPRODUCT(($Z$3:$AI$3&lt;AB$3)*($Z16:$AI16-$AJ16:$AS16))))</f>
        <v>310</v>
      </c>
      <c r="I16" s="42" t="n">
        <f aca="false">AM16+MIN(AC16-AM16,MAX(0,'Start Here'!$B$10-SUM($AJ16:$AS16)-SUMPRODUCT(($Z$3:$AI$3&lt;AC$3)*($Z16:$AI16-$AJ16:$AS16))))</f>
        <v>145</v>
      </c>
      <c r="J16" s="42" t="n">
        <f aca="false">AN16+MIN(AD16-AN16,MAX(0,'Start Here'!$B$10-SUM($AJ16:$AS16)-SUMPRODUCT(($Z$3:$AI$3&lt;AD$3)*($Z16:$AI16-$AJ16:$AS16))))</f>
        <v>50</v>
      </c>
      <c r="K16" s="42" t="n">
        <f aca="false">AO16+MIN(AE16-AO16,MAX(0,'Start Here'!$B$10-SUM($AJ16:$AS16)-SUMPRODUCT(($Z$3:$AI$3&lt;AE$3)*($Z16:$AI16-$AJ16:$AS16))))</f>
        <v>210</v>
      </c>
      <c r="L16" s="42" t="n">
        <f aca="false">AP16+MIN(AF16-AP16,MAX(0,'Start Here'!$B$10-SUM($AJ16:$AS16)-SUMPRODUCT(($Z$3:$AI$3&lt;AF$3)*($Z16:$AI16-$AJ16:$AS16))))</f>
        <v>0</v>
      </c>
      <c r="M16" s="42" t="n">
        <f aca="false">AQ16+MIN(AG16-AQ16,MAX(0,'Start Here'!$B$10-SUM($AJ16:$AS16)-SUMPRODUCT(($Z$3:$AI$3&lt;AG$3)*($Z16:$AI16-$AJ16:$AS16))))</f>
        <v>0</v>
      </c>
      <c r="N16" s="42" t="n">
        <f aca="false">AR16+MIN(AH16-AR16,MAX(0,'Start Here'!$B$10-SUM($AJ16:$AS16)-SUMPRODUCT(($Z$3:$AI$3&lt;AH$3)*($Z16:$AI16-$AJ16:$AS16))))</f>
        <v>0</v>
      </c>
      <c r="O16" s="42" t="n">
        <f aca="false">AS16+MIN(AI16-AS16,MAX(0,'Start Here'!$B$10-SUM($AJ16:$AS16)-SUMPRODUCT(($Z$3:$AI$3&lt;AI$3)*($Z16:$AI16-$AJ16:$AS16))))</f>
        <v>0</v>
      </c>
      <c r="P16" s="42" t="n">
        <f aca="false">ROUND(Z16-F16,2)</f>
        <v>0</v>
      </c>
      <c r="Q16" s="42" t="n">
        <f aca="false">ROUND(AA16-G16,2)</f>
        <v>3221.18</v>
      </c>
      <c r="R16" s="42" t="n">
        <f aca="false">ROUND(AB16-H16,2)</f>
        <v>9558.17</v>
      </c>
      <c r="S16" s="42" t="n">
        <f aca="false">ROUND(AC16-I16,2)</f>
        <v>2951.64</v>
      </c>
      <c r="T16" s="42" t="n">
        <f aca="false">ROUND(AD16-J16,2)</f>
        <v>300</v>
      </c>
      <c r="U16" s="42" t="n">
        <f aca="false">ROUND(AE16-K16,2)</f>
        <v>16959.04</v>
      </c>
      <c r="V16" s="42" t="n">
        <f aca="false">ROUND(AF16-L16,2)</f>
        <v>0</v>
      </c>
      <c r="W16" s="42" t="n">
        <f aca="false">ROUND(AG16-M16,2)</f>
        <v>0</v>
      </c>
      <c r="X16" s="42" t="n">
        <f aca="false">ROUND(AH16-N16,2)</f>
        <v>0</v>
      </c>
      <c r="Y16" s="42" t="n">
        <f aca="false">ROUND(AI16-O16,2)</f>
        <v>0</v>
      </c>
      <c r="Z16" s="56" t="n">
        <f aca="false">ROUND(P15*(1+N(Debts!$D$5)/12),2)</f>
        <v>0</v>
      </c>
      <c r="AA16" s="56" t="n">
        <f aca="false">ROUND(Q15*(1+N(Debts!$D$6)/12),2)</f>
        <v>3726.18</v>
      </c>
      <c r="AB16" s="56" t="n">
        <f aca="false">ROUND(R15*(1+N(Debts!$D$7)/12),2)</f>
        <v>9868.17</v>
      </c>
      <c r="AC16" s="56" t="n">
        <f aca="false">ROUND(S15*(1+N(Debts!$D$8)/12),2)</f>
        <v>3096.64</v>
      </c>
      <c r="AD16" s="56" t="n">
        <f aca="false">ROUND(T15*(1+N(Debts!$D$9)/12),2)</f>
        <v>350</v>
      </c>
      <c r="AE16" s="56" t="n">
        <f aca="false">ROUND(U15*(1+N(Debts!$D$10)/12),2)</f>
        <v>17169.04</v>
      </c>
      <c r="AF16" s="56" t="n">
        <f aca="false">ROUND(V15*(1+N(Debts!$D$11)/12),2)</f>
        <v>0</v>
      </c>
      <c r="AG16" s="56" t="n">
        <f aca="false">ROUND(W15*(1+N(Debts!$D$12)/12),2)</f>
        <v>0</v>
      </c>
      <c r="AH16" s="56" t="n">
        <f aca="false">ROUND(X15*(1+N(Debts!$D$13)/12),2)</f>
        <v>0</v>
      </c>
      <c r="AI16" s="56" t="n">
        <f aca="false">ROUND(Y15*(1+N(Debts!$D$14)/12),2)</f>
        <v>0</v>
      </c>
      <c r="AJ16" s="56" t="n">
        <f aca="false">MIN(Z16,MAX(0,N(Debts!$E$5)))</f>
        <v>0</v>
      </c>
      <c r="AK16" s="56" t="n">
        <f aca="false">MIN(AA16,MAX(0,N(Debts!$E$6)))</f>
        <v>170</v>
      </c>
      <c r="AL16" s="56" t="n">
        <f aca="false">MIN(AB16,MAX(0,N(Debts!$E$7)))</f>
        <v>310</v>
      </c>
      <c r="AM16" s="56" t="n">
        <f aca="false">MIN(AC16,MAX(0,N(Debts!$E$8)))</f>
        <v>145</v>
      </c>
      <c r="AN16" s="56" t="n">
        <f aca="false">MIN(AD16,MAX(0,N(Debts!$E$9)))</f>
        <v>50</v>
      </c>
      <c r="AO16" s="56" t="n">
        <f aca="false">MIN(AE16,MAX(0,N(Debts!$E$10)))</f>
        <v>210</v>
      </c>
      <c r="AP16" s="56" t="n">
        <f aca="false">MIN(AF16,MAX(0,N(Debts!$E$11)))</f>
        <v>0</v>
      </c>
      <c r="AQ16" s="56" t="n">
        <f aca="false">MIN(AG16,MAX(0,N(Debts!$E$12)))</f>
        <v>0</v>
      </c>
      <c r="AR16" s="56" t="n">
        <f aca="false">MIN(AH16,MAX(0,N(Debts!$E$13)))</f>
        <v>0</v>
      </c>
      <c r="AS16" s="56" t="n">
        <f aca="false">MIN(AI16,MAX(0,N(Debts!$E$14)))</f>
        <v>0</v>
      </c>
    </row>
    <row r="17" customFormat="false" ht="15" hidden="false" customHeight="false" outlineLevel="0" collapsed="false">
      <c r="A17" s="53" t="n">
        <v>13</v>
      </c>
      <c r="B17" s="54" t="n">
        <f aca="false">EDATE('Start Here'!$B$8,12)</f>
        <v>46692</v>
      </c>
      <c r="C17" s="42" t="n">
        <f aca="false">SUM(F17:O17)</f>
        <v>1220</v>
      </c>
      <c r="D17" s="42" t="n">
        <f aca="false">ROUND(SUM($Z17:$AI17)-SUM(P16:Y16),2)</f>
        <v>234.23</v>
      </c>
      <c r="E17" s="55" t="n">
        <f aca="false">SUM(P17:Y17)</f>
        <v>32004.26</v>
      </c>
      <c r="F17" s="42" t="n">
        <f aca="false">AJ17+MIN(Z17-AJ17,MAX(0,'Start Here'!$B$10-SUM($AJ17:$AS17)-SUMPRODUCT(($Z$3:$AI$3&lt;Z$3)*($Z17:$AI17-$AJ17:$AS17))))</f>
        <v>0</v>
      </c>
      <c r="G17" s="42" t="n">
        <f aca="false">AK17+MIN(AA17-AK17,MAX(0,'Start Here'!$B$10-SUM($AJ17:$AS17)-SUMPRODUCT(($Z$3:$AI$3&lt;AA$3)*($Z17:$AI17-$AJ17:$AS17))))</f>
        <v>505</v>
      </c>
      <c r="H17" s="42" t="n">
        <f aca="false">AL17+MIN(AB17-AL17,MAX(0,'Start Here'!$B$10-SUM($AJ17:$AS17)-SUMPRODUCT(($Z$3:$AI$3&lt;AB$3)*($Z17:$AI17-$AJ17:$AS17))))</f>
        <v>310</v>
      </c>
      <c r="I17" s="42" t="n">
        <f aca="false">AM17+MIN(AC17-AM17,MAX(0,'Start Here'!$B$10-SUM($AJ17:$AS17)-SUMPRODUCT(($Z$3:$AI$3&lt;AC$3)*($Z17:$AI17-$AJ17:$AS17))))</f>
        <v>145</v>
      </c>
      <c r="J17" s="42" t="n">
        <f aca="false">AN17+MIN(AD17-AN17,MAX(0,'Start Here'!$B$10-SUM($AJ17:$AS17)-SUMPRODUCT(($Z$3:$AI$3&lt;AD$3)*($Z17:$AI17-$AJ17:$AS17))))</f>
        <v>50</v>
      </c>
      <c r="K17" s="42" t="n">
        <f aca="false">AO17+MIN(AE17-AO17,MAX(0,'Start Here'!$B$10-SUM($AJ17:$AS17)-SUMPRODUCT(($Z$3:$AI$3&lt;AE$3)*($Z17:$AI17-$AJ17:$AS17))))</f>
        <v>210</v>
      </c>
      <c r="L17" s="42" t="n">
        <f aca="false">AP17+MIN(AF17-AP17,MAX(0,'Start Here'!$B$10-SUM($AJ17:$AS17)-SUMPRODUCT(($Z$3:$AI$3&lt;AF$3)*($Z17:$AI17-$AJ17:$AS17))))</f>
        <v>0</v>
      </c>
      <c r="M17" s="42" t="n">
        <f aca="false">AQ17+MIN(AG17-AQ17,MAX(0,'Start Here'!$B$10-SUM($AJ17:$AS17)-SUMPRODUCT(($Z$3:$AI$3&lt;AG$3)*($Z17:$AI17-$AJ17:$AS17))))</f>
        <v>0</v>
      </c>
      <c r="N17" s="42" t="n">
        <f aca="false">AR17+MIN(AH17-AR17,MAX(0,'Start Here'!$B$10-SUM($AJ17:$AS17)-SUMPRODUCT(($Z$3:$AI$3&lt;AH$3)*($Z17:$AI17-$AJ17:$AS17))))</f>
        <v>0</v>
      </c>
      <c r="O17" s="42" t="n">
        <f aca="false">AS17+MIN(AI17-AS17,MAX(0,'Start Here'!$B$10-SUM($AJ17:$AS17)-SUMPRODUCT(($Z$3:$AI$3&lt;AI$3)*($Z17:$AI17-$AJ17:$AS17))))</f>
        <v>0</v>
      </c>
      <c r="P17" s="42" t="n">
        <f aca="false">ROUND(Z17-F17,2)</f>
        <v>0</v>
      </c>
      <c r="Q17" s="42" t="n">
        <f aca="false">ROUND(AA17-G17,2)</f>
        <v>2776.55</v>
      </c>
      <c r="R17" s="42" t="n">
        <f aca="false">ROUND(AB17-H17,2)</f>
        <v>9311.09</v>
      </c>
      <c r="S17" s="42" t="n">
        <f aca="false">ROUND(AC17-I17,2)</f>
        <v>2839.85</v>
      </c>
      <c r="T17" s="42" t="n">
        <f aca="false">ROUND(AD17-J17,2)</f>
        <v>250</v>
      </c>
      <c r="U17" s="42" t="n">
        <f aca="false">ROUND(AE17-K17,2)</f>
        <v>16826.77</v>
      </c>
      <c r="V17" s="42" t="n">
        <f aca="false">ROUND(AF17-L17,2)</f>
        <v>0</v>
      </c>
      <c r="W17" s="42" t="n">
        <f aca="false">ROUND(AG17-M17,2)</f>
        <v>0</v>
      </c>
      <c r="X17" s="42" t="n">
        <f aca="false">ROUND(AH17-N17,2)</f>
        <v>0</v>
      </c>
      <c r="Y17" s="42" t="n">
        <f aca="false">ROUND(AI17-O17,2)</f>
        <v>0</v>
      </c>
      <c r="Z17" s="56" t="n">
        <f aca="false">ROUND(P16*(1+N(Debts!$D$5)/12),2)</f>
        <v>0</v>
      </c>
      <c r="AA17" s="56" t="n">
        <f aca="false">ROUND(Q16*(1+N(Debts!$D$6)/12),2)</f>
        <v>3281.55</v>
      </c>
      <c r="AB17" s="56" t="n">
        <f aca="false">ROUND(R16*(1+N(Debts!$D$7)/12),2)</f>
        <v>9621.09</v>
      </c>
      <c r="AC17" s="56" t="n">
        <f aca="false">ROUND(S16*(1+N(Debts!$D$8)/12),2)</f>
        <v>2984.85</v>
      </c>
      <c r="AD17" s="56" t="n">
        <f aca="false">ROUND(T16*(1+N(Debts!$D$9)/12),2)</f>
        <v>300</v>
      </c>
      <c r="AE17" s="56" t="n">
        <f aca="false">ROUND(U16*(1+N(Debts!$D$10)/12),2)</f>
        <v>17036.77</v>
      </c>
      <c r="AF17" s="56" t="n">
        <f aca="false">ROUND(V16*(1+N(Debts!$D$11)/12),2)</f>
        <v>0</v>
      </c>
      <c r="AG17" s="56" t="n">
        <f aca="false">ROUND(W16*(1+N(Debts!$D$12)/12),2)</f>
        <v>0</v>
      </c>
      <c r="AH17" s="56" t="n">
        <f aca="false">ROUND(X16*(1+N(Debts!$D$13)/12),2)</f>
        <v>0</v>
      </c>
      <c r="AI17" s="56" t="n">
        <f aca="false">ROUND(Y16*(1+N(Debts!$D$14)/12),2)</f>
        <v>0</v>
      </c>
      <c r="AJ17" s="56" t="n">
        <f aca="false">MIN(Z17,MAX(0,N(Debts!$E$5)))</f>
        <v>0</v>
      </c>
      <c r="AK17" s="56" t="n">
        <f aca="false">MIN(AA17,MAX(0,N(Debts!$E$6)))</f>
        <v>170</v>
      </c>
      <c r="AL17" s="56" t="n">
        <f aca="false">MIN(AB17,MAX(0,N(Debts!$E$7)))</f>
        <v>310</v>
      </c>
      <c r="AM17" s="56" t="n">
        <f aca="false">MIN(AC17,MAX(0,N(Debts!$E$8)))</f>
        <v>145</v>
      </c>
      <c r="AN17" s="56" t="n">
        <f aca="false">MIN(AD17,MAX(0,N(Debts!$E$9)))</f>
        <v>50</v>
      </c>
      <c r="AO17" s="56" t="n">
        <f aca="false">MIN(AE17,MAX(0,N(Debts!$E$10)))</f>
        <v>210</v>
      </c>
      <c r="AP17" s="56" t="n">
        <f aca="false">MIN(AF17,MAX(0,N(Debts!$E$11)))</f>
        <v>0</v>
      </c>
      <c r="AQ17" s="56" t="n">
        <f aca="false">MIN(AG17,MAX(0,N(Debts!$E$12)))</f>
        <v>0</v>
      </c>
      <c r="AR17" s="56" t="n">
        <f aca="false">MIN(AH17,MAX(0,N(Debts!$E$13)))</f>
        <v>0</v>
      </c>
      <c r="AS17" s="56" t="n">
        <f aca="false">MIN(AI17,MAX(0,N(Debts!$E$14)))</f>
        <v>0</v>
      </c>
    </row>
    <row r="18" customFormat="false" ht="15" hidden="false" customHeight="false" outlineLevel="0" collapsed="false">
      <c r="A18" s="53" t="n">
        <v>14</v>
      </c>
      <c r="B18" s="54" t="n">
        <f aca="false">EDATE('Start Here'!$B$8,13)</f>
        <v>46722</v>
      </c>
      <c r="C18" s="42" t="n">
        <f aca="false">SUM(F18:O18)</f>
        <v>1220</v>
      </c>
      <c r="D18" s="42" t="n">
        <f aca="false">ROUND(SUM($Z18:$AI18)-SUM(P17:Y17),2)</f>
        <v>222.41</v>
      </c>
      <c r="E18" s="55" t="n">
        <f aca="false">SUM(P18:Y18)</f>
        <v>31006.67</v>
      </c>
      <c r="F18" s="42" t="n">
        <f aca="false">AJ18+MIN(Z18-AJ18,MAX(0,'Start Here'!$B$10-SUM($AJ18:$AS18)-SUMPRODUCT(($Z$3:$AI$3&lt;Z$3)*($Z18:$AI18-$AJ18:$AS18))))</f>
        <v>0</v>
      </c>
      <c r="G18" s="42" t="n">
        <f aca="false">AK18+MIN(AA18-AK18,MAX(0,'Start Here'!$B$10-SUM($AJ18:$AS18)-SUMPRODUCT(($Z$3:$AI$3&lt;AA$3)*($Z18:$AI18-$AJ18:$AS18))))</f>
        <v>505</v>
      </c>
      <c r="H18" s="42" t="n">
        <f aca="false">AL18+MIN(AB18-AL18,MAX(0,'Start Here'!$B$10-SUM($AJ18:$AS18)-SUMPRODUCT(($Z$3:$AI$3&lt;AB$3)*($Z18:$AI18-$AJ18:$AS18))))</f>
        <v>310</v>
      </c>
      <c r="I18" s="42" t="n">
        <f aca="false">AM18+MIN(AC18-AM18,MAX(0,'Start Here'!$B$10-SUM($AJ18:$AS18)-SUMPRODUCT(($Z$3:$AI$3&lt;AC$3)*($Z18:$AI18-$AJ18:$AS18))))</f>
        <v>145</v>
      </c>
      <c r="J18" s="42" t="n">
        <f aca="false">AN18+MIN(AD18-AN18,MAX(0,'Start Here'!$B$10-SUM($AJ18:$AS18)-SUMPRODUCT(($Z$3:$AI$3&lt;AD$3)*($Z18:$AI18-$AJ18:$AS18))))</f>
        <v>50</v>
      </c>
      <c r="K18" s="42" t="n">
        <f aca="false">AO18+MIN(AE18-AO18,MAX(0,'Start Here'!$B$10-SUM($AJ18:$AS18)-SUMPRODUCT(($Z$3:$AI$3&lt;AE$3)*($Z18:$AI18-$AJ18:$AS18))))</f>
        <v>210</v>
      </c>
      <c r="L18" s="42" t="n">
        <f aca="false">AP18+MIN(AF18-AP18,MAX(0,'Start Here'!$B$10-SUM($AJ18:$AS18)-SUMPRODUCT(($Z$3:$AI$3&lt;AF$3)*($Z18:$AI18-$AJ18:$AS18))))</f>
        <v>0</v>
      </c>
      <c r="M18" s="42" t="n">
        <f aca="false">AQ18+MIN(AG18-AQ18,MAX(0,'Start Here'!$B$10-SUM($AJ18:$AS18)-SUMPRODUCT(($Z$3:$AI$3&lt;AG$3)*($Z18:$AI18-$AJ18:$AS18))))</f>
        <v>0</v>
      </c>
      <c r="N18" s="42" t="n">
        <f aca="false">AR18+MIN(AH18-AR18,MAX(0,'Start Here'!$B$10-SUM($AJ18:$AS18)-SUMPRODUCT(($Z$3:$AI$3&lt;AH$3)*($Z18:$AI18-$AJ18:$AS18))))</f>
        <v>0</v>
      </c>
      <c r="O18" s="42" t="n">
        <f aca="false">AS18+MIN(AI18-AS18,MAX(0,'Start Here'!$B$10-SUM($AJ18:$AS18)-SUMPRODUCT(($Z$3:$AI$3&lt;AI$3)*($Z18:$AI18-$AJ18:$AS18))))</f>
        <v>0</v>
      </c>
      <c r="P18" s="42" t="n">
        <f aca="false">ROUND(Z18-F18,2)</f>
        <v>0</v>
      </c>
      <c r="Q18" s="42" t="n">
        <f aca="false">ROUND(AA18-G18,2)</f>
        <v>2323.59</v>
      </c>
      <c r="R18" s="42" t="n">
        <f aca="false">ROUND(AB18-H18,2)</f>
        <v>9062.39</v>
      </c>
      <c r="S18" s="42" t="n">
        <f aca="false">ROUND(AC18-I18,2)</f>
        <v>2726.8</v>
      </c>
      <c r="T18" s="42" t="n">
        <f aca="false">ROUND(AD18-J18,2)</f>
        <v>200</v>
      </c>
      <c r="U18" s="42" t="n">
        <f aca="false">ROUND(AE18-K18,2)</f>
        <v>16693.89</v>
      </c>
      <c r="V18" s="42" t="n">
        <f aca="false">ROUND(AF18-L18,2)</f>
        <v>0</v>
      </c>
      <c r="W18" s="42" t="n">
        <f aca="false">ROUND(AG18-M18,2)</f>
        <v>0</v>
      </c>
      <c r="X18" s="42" t="n">
        <f aca="false">ROUND(AH18-N18,2)</f>
        <v>0</v>
      </c>
      <c r="Y18" s="42" t="n">
        <f aca="false">ROUND(AI18-O18,2)</f>
        <v>0</v>
      </c>
      <c r="Z18" s="56" t="n">
        <f aca="false">ROUND(P17*(1+N(Debts!$D$5)/12),2)</f>
        <v>0</v>
      </c>
      <c r="AA18" s="56" t="n">
        <f aca="false">ROUND(Q17*(1+N(Debts!$D$6)/12),2)</f>
        <v>2828.59</v>
      </c>
      <c r="AB18" s="56" t="n">
        <f aca="false">ROUND(R17*(1+N(Debts!$D$7)/12),2)</f>
        <v>9372.39</v>
      </c>
      <c r="AC18" s="56" t="n">
        <f aca="false">ROUND(S17*(1+N(Debts!$D$8)/12),2)</f>
        <v>2871.8</v>
      </c>
      <c r="AD18" s="56" t="n">
        <f aca="false">ROUND(T17*(1+N(Debts!$D$9)/12),2)</f>
        <v>250</v>
      </c>
      <c r="AE18" s="56" t="n">
        <f aca="false">ROUND(U17*(1+N(Debts!$D$10)/12),2)</f>
        <v>16903.89</v>
      </c>
      <c r="AF18" s="56" t="n">
        <f aca="false">ROUND(V17*(1+N(Debts!$D$11)/12),2)</f>
        <v>0</v>
      </c>
      <c r="AG18" s="56" t="n">
        <f aca="false">ROUND(W17*(1+N(Debts!$D$12)/12),2)</f>
        <v>0</v>
      </c>
      <c r="AH18" s="56" t="n">
        <f aca="false">ROUND(X17*(1+N(Debts!$D$13)/12),2)</f>
        <v>0</v>
      </c>
      <c r="AI18" s="56" t="n">
        <f aca="false">ROUND(Y17*(1+N(Debts!$D$14)/12),2)</f>
        <v>0</v>
      </c>
      <c r="AJ18" s="56" t="n">
        <f aca="false">MIN(Z18,MAX(0,N(Debts!$E$5)))</f>
        <v>0</v>
      </c>
      <c r="AK18" s="56" t="n">
        <f aca="false">MIN(AA18,MAX(0,N(Debts!$E$6)))</f>
        <v>170</v>
      </c>
      <c r="AL18" s="56" t="n">
        <f aca="false">MIN(AB18,MAX(0,N(Debts!$E$7)))</f>
        <v>310</v>
      </c>
      <c r="AM18" s="56" t="n">
        <f aca="false">MIN(AC18,MAX(0,N(Debts!$E$8)))</f>
        <v>145</v>
      </c>
      <c r="AN18" s="56" t="n">
        <f aca="false">MIN(AD18,MAX(0,N(Debts!$E$9)))</f>
        <v>50</v>
      </c>
      <c r="AO18" s="56" t="n">
        <f aca="false">MIN(AE18,MAX(0,N(Debts!$E$10)))</f>
        <v>210</v>
      </c>
      <c r="AP18" s="56" t="n">
        <f aca="false">MIN(AF18,MAX(0,N(Debts!$E$11)))</f>
        <v>0</v>
      </c>
      <c r="AQ18" s="56" t="n">
        <f aca="false">MIN(AG18,MAX(0,N(Debts!$E$12)))</f>
        <v>0</v>
      </c>
      <c r="AR18" s="56" t="n">
        <f aca="false">MIN(AH18,MAX(0,N(Debts!$E$13)))</f>
        <v>0</v>
      </c>
      <c r="AS18" s="56" t="n">
        <f aca="false">MIN(AI18,MAX(0,N(Debts!$E$14)))</f>
        <v>0</v>
      </c>
    </row>
    <row r="19" customFormat="false" ht="15" hidden="false" customHeight="false" outlineLevel="0" collapsed="false">
      <c r="A19" s="53" t="n">
        <v>15</v>
      </c>
      <c r="B19" s="54" t="n">
        <f aca="false">EDATE('Start Here'!$B$8,14)</f>
        <v>46753</v>
      </c>
      <c r="C19" s="42" t="n">
        <f aca="false">SUM(F19:O19)</f>
        <v>1220</v>
      </c>
      <c r="D19" s="42" t="n">
        <f aca="false">ROUND(SUM($Z19:$AI19)-SUM(P18:Y18),2)</f>
        <v>210.4</v>
      </c>
      <c r="E19" s="55" t="n">
        <f aca="false">SUM(P19:Y19)</f>
        <v>29997.07</v>
      </c>
      <c r="F19" s="42" t="n">
        <f aca="false">AJ19+MIN(Z19-AJ19,MAX(0,'Start Here'!$B$10-SUM($AJ19:$AS19)-SUMPRODUCT(($Z$3:$AI$3&lt;Z$3)*($Z19:$AI19-$AJ19:$AS19))))</f>
        <v>0</v>
      </c>
      <c r="G19" s="42" t="n">
        <f aca="false">AK19+MIN(AA19-AK19,MAX(0,'Start Here'!$B$10-SUM($AJ19:$AS19)-SUMPRODUCT(($Z$3:$AI$3&lt;AA$3)*($Z19:$AI19-$AJ19:$AS19))))</f>
        <v>505</v>
      </c>
      <c r="H19" s="42" t="n">
        <f aca="false">AL19+MIN(AB19-AL19,MAX(0,'Start Here'!$B$10-SUM($AJ19:$AS19)-SUMPRODUCT(($Z$3:$AI$3&lt;AB$3)*($Z19:$AI19-$AJ19:$AS19))))</f>
        <v>310</v>
      </c>
      <c r="I19" s="42" t="n">
        <f aca="false">AM19+MIN(AC19-AM19,MAX(0,'Start Here'!$B$10-SUM($AJ19:$AS19)-SUMPRODUCT(($Z$3:$AI$3&lt;AC$3)*($Z19:$AI19-$AJ19:$AS19))))</f>
        <v>145</v>
      </c>
      <c r="J19" s="42" t="n">
        <f aca="false">AN19+MIN(AD19-AN19,MAX(0,'Start Here'!$B$10-SUM($AJ19:$AS19)-SUMPRODUCT(($Z$3:$AI$3&lt;AD$3)*($Z19:$AI19-$AJ19:$AS19))))</f>
        <v>50</v>
      </c>
      <c r="K19" s="42" t="n">
        <f aca="false">AO19+MIN(AE19-AO19,MAX(0,'Start Here'!$B$10-SUM($AJ19:$AS19)-SUMPRODUCT(($Z$3:$AI$3&lt;AE$3)*($Z19:$AI19-$AJ19:$AS19))))</f>
        <v>210</v>
      </c>
      <c r="L19" s="42" t="n">
        <f aca="false">AP19+MIN(AF19-AP19,MAX(0,'Start Here'!$B$10-SUM($AJ19:$AS19)-SUMPRODUCT(($Z$3:$AI$3&lt;AF$3)*($Z19:$AI19-$AJ19:$AS19))))</f>
        <v>0</v>
      </c>
      <c r="M19" s="42" t="n">
        <f aca="false">AQ19+MIN(AG19-AQ19,MAX(0,'Start Here'!$B$10-SUM($AJ19:$AS19)-SUMPRODUCT(($Z$3:$AI$3&lt;AG$3)*($Z19:$AI19-$AJ19:$AS19))))</f>
        <v>0</v>
      </c>
      <c r="N19" s="42" t="n">
        <f aca="false">AR19+MIN(AH19-AR19,MAX(0,'Start Here'!$B$10-SUM($AJ19:$AS19)-SUMPRODUCT(($Z$3:$AI$3&lt;AH$3)*($Z19:$AI19-$AJ19:$AS19))))</f>
        <v>0</v>
      </c>
      <c r="O19" s="42" t="n">
        <f aca="false">AS19+MIN(AI19-AS19,MAX(0,'Start Here'!$B$10-SUM($AJ19:$AS19)-SUMPRODUCT(($Z$3:$AI$3&lt;AI$3)*($Z19:$AI19-$AJ19:$AS19))))</f>
        <v>0</v>
      </c>
      <c r="P19" s="42" t="n">
        <f aca="false">ROUND(Z19-F19,2)</f>
        <v>0</v>
      </c>
      <c r="Q19" s="42" t="n">
        <f aca="false">ROUND(AA19-G19,2)</f>
        <v>1862.14</v>
      </c>
      <c r="R19" s="42" t="n">
        <f aca="false">ROUND(AB19-H19,2)</f>
        <v>8812.05</v>
      </c>
      <c r="S19" s="42" t="n">
        <f aca="false">ROUND(AC19-I19,2)</f>
        <v>2612.48</v>
      </c>
      <c r="T19" s="42" t="n">
        <f aca="false">ROUND(AD19-J19,2)</f>
        <v>150</v>
      </c>
      <c r="U19" s="42" t="n">
        <f aca="false">ROUND(AE19-K19,2)</f>
        <v>16560.4</v>
      </c>
      <c r="V19" s="42" t="n">
        <f aca="false">ROUND(AF19-L19,2)</f>
        <v>0</v>
      </c>
      <c r="W19" s="42" t="n">
        <f aca="false">ROUND(AG19-M19,2)</f>
        <v>0</v>
      </c>
      <c r="X19" s="42" t="n">
        <f aca="false">ROUND(AH19-N19,2)</f>
        <v>0</v>
      </c>
      <c r="Y19" s="42" t="n">
        <f aca="false">ROUND(AI19-O19,2)</f>
        <v>0</v>
      </c>
      <c r="Z19" s="56" t="n">
        <f aca="false">ROUND(P18*(1+N(Debts!$D$5)/12),2)</f>
        <v>0</v>
      </c>
      <c r="AA19" s="56" t="n">
        <f aca="false">ROUND(Q18*(1+N(Debts!$D$6)/12),2)</f>
        <v>2367.14</v>
      </c>
      <c r="AB19" s="56" t="n">
        <f aca="false">ROUND(R18*(1+N(Debts!$D$7)/12),2)</f>
        <v>9122.05</v>
      </c>
      <c r="AC19" s="56" t="n">
        <f aca="false">ROUND(S18*(1+N(Debts!$D$8)/12),2)</f>
        <v>2757.48</v>
      </c>
      <c r="AD19" s="56" t="n">
        <f aca="false">ROUND(T18*(1+N(Debts!$D$9)/12),2)</f>
        <v>200</v>
      </c>
      <c r="AE19" s="56" t="n">
        <f aca="false">ROUND(U18*(1+N(Debts!$D$10)/12),2)</f>
        <v>16770.4</v>
      </c>
      <c r="AF19" s="56" t="n">
        <f aca="false">ROUND(V18*(1+N(Debts!$D$11)/12),2)</f>
        <v>0</v>
      </c>
      <c r="AG19" s="56" t="n">
        <f aca="false">ROUND(W18*(1+N(Debts!$D$12)/12),2)</f>
        <v>0</v>
      </c>
      <c r="AH19" s="56" t="n">
        <f aca="false">ROUND(X18*(1+N(Debts!$D$13)/12),2)</f>
        <v>0</v>
      </c>
      <c r="AI19" s="56" t="n">
        <f aca="false">ROUND(Y18*(1+N(Debts!$D$14)/12),2)</f>
        <v>0</v>
      </c>
      <c r="AJ19" s="56" t="n">
        <f aca="false">MIN(Z19,MAX(0,N(Debts!$E$5)))</f>
        <v>0</v>
      </c>
      <c r="AK19" s="56" t="n">
        <f aca="false">MIN(AA19,MAX(0,N(Debts!$E$6)))</f>
        <v>170</v>
      </c>
      <c r="AL19" s="56" t="n">
        <f aca="false">MIN(AB19,MAX(0,N(Debts!$E$7)))</f>
        <v>310</v>
      </c>
      <c r="AM19" s="56" t="n">
        <f aca="false">MIN(AC19,MAX(0,N(Debts!$E$8)))</f>
        <v>145</v>
      </c>
      <c r="AN19" s="56" t="n">
        <f aca="false">MIN(AD19,MAX(0,N(Debts!$E$9)))</f>
        <v>50</v>
      </c>
      <c r="AO19" s="56" t="n">
        <f aca="false">MIN(AE19,MAX(0,N(Debts!$E$10)))</f>
        <v>210</v>
      </c>
      <c r="AP19" s="56" t="n">
        <f aca="false">MIN(AF19,MAX(0,N(Debts!$E$11)))</f>
        <v>0</v>
      </c>
      <c r="AQ19" s="56" t="n">
        <f aca="false">MIN(AG19,MAX(0,N(Debts!$E$12)))</f>
        <v>0</v>
      </c>
      <c r="AR19" s="56" t="n">
        <f aca="false">MIN(AH19,MAX(0,N(Debts!$E$13)))</f>
        <v>0</v>
      </c>
      <c r="AS19" s="56" t="n">
        <f aca="false">MIN(AI19,MAX(0,N(Debts!$E$14)))</f>
        <v>0</v>
      </c>
    </row>
    <row r="20" customFormat="false" ht="15" hidden="false" customHeight="false" outlineLevel="0" collapsed="false">
      <c r="A20" s="53" t="n">
        <v>16</v>
      </c>
      <c r="B20" s="54" t="n">
        <f aca="false">EDATE('Start Here'!$B$8,15)</f>
        <v>46784</v>
      </c>
      <c r="C20" s="42" t="n">
        <f aca="false">SUM(F20:O20)</f>
        <v>1220</v>
      </c>
      <c r="D20" s="42" t="n">
        <f aca="false">ROUND(SUM($Z20:$AI20)-SUM(P19:Y19),2)</f>
        <v>198.2</v>
      </c>
      <c r="E20" s="55" t="n">
        <f aca="false">SUM(P20:Y20)</f>
        <v>28975.27</v>
      </c>
      <c r="F20" s="42" t="n">
        <f aca="false">AJ20+MIN(Z20-AJ20,MAX(0,'Start Here'!$B$10-SUM($AJ20:$AS20)-SUMPRODUCT(($Z$3:$AI$3&lt;Z$3)*($Z20:$AI20-$AJ20:$AS20))))</f>
        <v>0</v>
      </c>
      <c r="G20" s="42" t="n">
        <f aca="false">AK20+MIN(AA20-AK20,MAX(0,'Start Here'!$B$10-SUM($AJ20:$AS20)-SUMPRODUCT(($Z$3:$AI$3&lt;AA$3)*($Z20:$AI20-$AJ20:$AS20))))</f>
        <v>505</v>
      </c>
      <c r="H20" s="42" t="n">
        <f aca="false">AL20+MIN(AB20-AL20,MAX(0,'Start Here'!$B$10-SUM($AJ20:$AS20)-SUMPRODUCT(($Z$3:$AI$3&lt;AB$3)*($Z20:$AI20-$AJ20:$AS20))))</f>
        <v>310</v>
      </c>
      <c r="I20" s="42" t="n">
        <f aca="false">AM20+MIN(AC20-AM20,MAX(0,'Start Here'!$B$10-SUM($AJ20:$AS20)-SUMPRODUCT(($Z$3:$AI$3&lt;AC$3)*($Z20:$AI20-$AJ20:$AS20))))</f>
        <v>145</v>
      </c>
      <c r="J20" s="42" t="n">
        <f aca="false">AN20+MIN(AD20-AN20,MAX(0,'Start Here'!$B$10-SUM($AJ20:$AS20)-SUMPRODUCT(($Z$3:$AI$3&lt;AD$3)*($Z20:$AI20-$AJ20:$AS20))))</f>
        <v>50</v>
      </c>
      <c r="K20" s="42" t="n">
        <f aca="false">AO20+MIN(AE20-AO20,MAX(0,'Start Here'!$B$10-SUM($AJ20:$AS20)-SUMPRODUCT(($Z$3:$AI$3&lt;AE$3)*($Z20:$AI20-$AJ20:$AS20))))</f>
        <v>210</v>
      </c>
      <c r="L20" s="42" t="n">
        <f aca="false">AP20+MIN(AF20-AP20,MAX(0,'Start Here'!$B$10-SUM($AJ20:$AS20)-SUMPRODUCT(($Z$3:$AI$3&lt;AF$3)*($Z20:$AI20-$AJ20:$AS20))))</f>
        <v>0</v>
      </c>
      <c r="M20" s="42" t="n">
        <f aca="false">AQ20+MIN(AG20-AQ20,MAX(0,'Start Here'!$B$10-SUM($AJ20:$AS20)-SUMPRODUCT(($Z$3:$AI$3&lt;AG$3)*($Z20:$AI20-$AJ20:$AS20))))</f>
        <v>0</v>
      </c>
      <c r="N20" s="42" t="n">
        <f aca="false">AR20+MIN(AH20-AR20,MAX(0,'Start Here'!$B$10-SUM($AJ20:$AS20)-SUMPRODUCT(($Z$3:$AI$3&lt;AH$3)*($Z20:$AI20-$AJ20:$AS20))))</f>
        <v>0</v>
      </c>
      <c r="O20" s="42" t="n">
        <f aca="false">AS20+MIN(AI20-AS20,MAX(0,'Start Here'!$B$10-SUM($AJ20:$AS20)-SUMPRODUCT(($Z$3:$AI$3&lt;AI$3)*($Z20:$AI20-$AJ20:$AS20))))</f>
        <v>0</v>
      </c>
      <c r="P20" s="42" t="n">
        <f aca="false">ROUND(Z20-F20,2)</f>
        <v>0</v>
      </c>
      <c r="Q20" s="42" t="n">
        <f aca="false">ROUND(AA20-G20,2)</f>
        <v>1392.04</v>
      </c>
      <c r="R20" s="42" t="n">
        <f aca="false">ROUND(AB20-H20,2)</f>
        <v>8560.06</v>
      </c>
      <c r="S20" s="42" t="n">
        <f aca="false">ROUND(AC20-I20,2)</f>
        <v>2496.87</v>
      </c>
      <c r="T20" s="42" t="n">
        <f aca="false">ROUND(AD20-J20,2)</f>
        <v>100</v>
      </c>
      <c r="U20" s="42" t="n">
        <f aca="false">ROUND(AE20-K20,2)</f>
        <v>16426.3</v>
      </c>
      <c r="V20" s="42" t="n">
        <f aca="false">ROUND(AF20-L20,2)</f>
        <v>0</v>
      </c>
      <c r="W20" s="42" t="n">
        <f aca="false">ROUND(AG20-M20,2)</f>
        <v>0</v>
      </c>
      <c r="X20" s="42" t="n">
        <f aca="false">ROUND(AH20-N20,2)</f>
        <v>0</v>
      </c>
      <c r="Y20" s="42" t="n">
        <f aca="false">ROUND(AI20-O20,2)</f>
        <v>0</v>
      </c>
      <c r="Z20" s="56" t="n">
        <f aca="false">ROUND(P19*(1+N(Debts!$D$5)/12),2)</f>
        <v>0</v>
      </c>
      <c r="AA20" s="56" t="n">
        <f aca="false">ROUND(Q19*(1+N(Debts!$D$6)/12),2)</f>
        <v>1897.04</v>
      </c>
      <c r="AB20" s="56" t="n">
        <f aca="false">ROUND(R19*(1+N(Debts!$D$7)/12),2)</f>
        <v>8870.06</v>
      </c>
      <c r="AC20" s="56" t="n">
        <f aca="false">ROUND(S19*(1+N(Debts!$D$8)/12),2)</f>
        <v>2641.87</v>
      </c>
      <c r="AD20" s="56" t="n">
        <f aca="false">ROUND(T19*(1+N(Debts!$D$9)/12),2)</f>
        <v>150</v>
      </c>
      <c r="AE20" s="56" t="n">
        <f aca="false">ROUND(U19*(1+N(Debts!$D$10)/12),2)</f>
        <v>16636.3</v>
      </c>
      <c r="AF20" s="56" t="n">
        <f aca="false">ROUND(V19*(1+N(Debts!$D$11)/12),2)</f>
        <v>0</v>
      </c>
      <c r="AG20" s="56" t="n">
        <f aca="false">ROUND(W19*(1+N(Debts!$D$12)/12),2)</f>
        <v>0</v>
      </c>
      <c r="AH20" s="56" t="n">
        <f aca="false">ROUND(X19*(1+N(Debts!$D$13)/12),2)</f>
        <v>0</v>
      </c>
      <c r="AI20" s="56" t="n">
        <f aca="false">ROUND(Y19*(1+N(Debts!$D$14)/12),2)</f>
        <v>0</v>
      </c>
      <c r="AJ20" s="56" t="n">
        <f aca="false">MIN(Z20,MAX(0,N(Debts!$E$5)))</f>
        <v>0</v>
      </c>
      <c r="AK20" s="56" t="n">
        <f aca="false">MIN(AA20,MAX(0,N(Debts!$E$6)))</f>
        <v>170</v>
      </c>
      <c r="AL20" s="56" t="n">
        <f aca="false">MIN(AB20,MAX(0,N(Debts!$E$7)))</f>
        <v>310</v>
      </c>
      <c r="AM20" s="56" t="n">
        <f aca="false">MIN(AC20,MAX(0,N(Debts!$E$8)))</f>
        <v>145</v>
      </c>
      <c r="AN20" s="56" t="n">
        <f aca="false">MIN(AD20,MAX(0,N(Debts!$E$9)))</f>
        <v>50</v>
      </c>
      <c r="AO20" s="56" t="n">
        <f aca="false">MIN(AE20,MAX(0,N(Debts!$E$10)))</f>
        <v>210</v>
      </c>
      <c r="AP20" s="56" t="n">
        <f aca="false">MIN(AF20,MAX(0,N(Debts!$E$11)))</f>
        <v>0</v>
      </c>
      <c r="AQ20" s="56" t="n">
        <f aca="false">MIN(AG20,MAX(0,N(Debts!$E$12)))</f>
        <v>0</v>
      </c>
      <c r="AR20" s="56" t="n">
        <f aca="false">MIN(AH20,MAX(0,N(Debts!$E$13)))</f>
        <v>0</v>
      </c>
      <c r="AS20" s="56" t="n">
        <f aca="false">MIN(AI20,MAX(0,N(Debts!$E$14)))</f>
        <v>0</v>
      </c>
    </row>
    <row r="21" customFormat="false" ht="15" hidden="false" customHeight="false" outlineLevel="0" collapsed="false">
      <c r="A21" s="53" t="n">
        <v>17</v>
      </c>
      <c r="B21" s="54" t="n">
        <f aca="false">EDATE('Start Here'!$B$8,16)</f>
        <v>46813</v>
      </c>
      <c r="C21" s="42" t="n">
        <f aca="false">SUM(F21:O21)</f>
        <v>1220</v>
      </c>
      <c r="D21" s="42" t="n">
        <f aca="false">ROUND(SUM($Z21:$AI21)-SUM(P20:Y20),2)</f>
        <v>185.82</v>
      </c>
      <c r="E21" s="55" t="n">
        <f aca="false">SUM(P21:Y21)</f>
        <v>27941.09</v>
      </c>
      <c r="F21" s="42" t="n">
        <f aca="false">AJ21+MIN(Z21-AJ21,MAX(0,'Start Here'!$B$10-SUM($AJ21:$AS21)-SUMPRODUCT(($Z$3:$AI$3&lt;Z$3)*($Z21:$AI21-$AJ21:$AS21))))</f>
        <v>0</v>
      </c>
      <c r="G21" s="42" t="n">
        <f aca="false">AK21+MIN(AA21-AK21,MAX(0,'Start Here'!$B$10-SUM($AJ21:$AS21)-SUMPRODUCT(($Z$3:$AI$3&lt;AA$3)*($Z21:$AI21-$AJ21:$AS21))))</f>
        <v>505</v>
      </c>
      <c r="H21" s="42" t="n">
        <f aca="false">AL21+MIN(AB21-AL21,MAX(0,'Start Here'!$B$10-SUM($AJ21:$AS21)-SUMPRODUCT(($Z$3:$AI$3&lt;AB$3)*($Z21:$AI21-$AJ21:$AS21))))</f>
        <v>310</v>
      </c>
      <c r="I21" s="42" t="n">
        <f aca="false">AM21+MIN(AC21-AM21,MAX(0,'Start Here'!$B$10-SUM($AJ21:$AS21)-SUMPRODUCT(($Z$3:$AI$3&lt;AC$3)*($Z21:$AI21-$AJ21:$AS21))))</f>
        <v>145</v>
      </c>
      <c r="J21" s="42" t="n">
        <f aca="false">AN21+MIN(AD21-AN21,MAX(0,'Start Here'!$B$10-SUM($AJ21:$AS21)-SUMPRODUCT(($Z$3:$AI$3&lt;AD$3)*($Z21:$AI21-$AJ21:$AS21))))</f>
        <v>50</v>
      </c>
      <c r="K21" s="42" t="n">
        <f aca="false">AO21+MIN(AE21-AO21,MAX(0,'Start Here'!$B$10-SUM($AJ21:$AS21)-SUMPRODUCT(($Z$3:$AI$3&lt;AE$3)*($Z21:$AI21-$AJ21:$AS21))))</f>
        <v>210</v>
      </c>
      <c r="L21" s="42" t="n">
        <f aca="false">AP21+MIN(AF21-AP21,MAX(0,'Start Here'!$B$10-SUM($AJ21:$AS21)-SUMPRODUCT(($Z$3:$AI$3&lt;AF$3)*($Z21:$AI21-$AJ21:$AS21))))</f>
        <v>0</v>
      </c>
      <c r="M21" s="42" t="n">
        <f aca="false">AQ21+MIN(AG21-AQ21,MAX(0,'Start Here'!$B$10-SUM($AJ21:$AS21)-SUMPRODUCT(($Z$3:$AI$3&lt;AG$3)*($Z21:$AI21-$AJ21:$AS21))))</f>
        <v>0</v>
      </c>
      <c r="N21" s="42" t="n">
        <f aca="false">AR21+MIN(AH21-AR21,MAX(0,'Start Here'!$B$10-SUM($AJ21:$AS21)-SUMPRODUCT(($Z$3:$AI$3&lt;AH$3)*($Z21:$AI21-$AJ21:$AS21))))</f>
        <v>0</v>
      </c>
      <c r="O21" s="42" t="n">
        <f aca="false">AS21+MIN(AI21-AS21,MAX(0,'Start Here'!$B$10-SUM($AJ21:$AS21)-SUMPRODUCT(($Z$3:$AI$3&lt;AI$3)*($Z21:$AI21-$AJ21:$AS21))))</f>
        <v>0</v>
      </c>
      <c r="P21" s="42" t="n">
        <f aca="false">ROUND(Z21-F21,2)</f>
        <v>0</v>
      </c>
      <c r="Q21" s="42" t="n">
        <f aca="false">ROUND(AA21-G21,2)</f>
        <v>913.13</v>
      </c>
      <c r="R21" s="42" t="n">
        <f aca="false">ROUND(AB21-H21,2)</f>
        <v>8306.41</v>
      </c>
      <c r="S21" s="42" t="n">
        <f aca="false">ROUND(AC21-I21,2)</f>
        <v>2379.96</v>
      </c>
      <c r="T21" s="42" t="n">
        <f aca="false">ROUND(AD21-J21,2)</f>
        <v>50</v>
      </c>
      <c r="U21" s="42" t="n">
        <f aca="false">ROUND(AE21-K21,2)</f>
        <v>16291.59</v>
      </c>
      <c r="V21" s="42" t="n">
        <f aca="false">ROUND(AF21-L21,2)</f>
        <v>0</v>
      </c>
      <c r="W21" s="42" t="n">
        <f aca="false">ROUND(AG21-M21,2)</f>
        <v>0</v>
      </c>
      <c r="X21" s="42" t="n">
        <f aca="false">ROUND(AH21-N21,2)</f>
        <v>0</v>
      </c>
      <c r="Y21" s="42" t="n">
        <f aca="false">ROUND(AI21-O21,2)</f>
        <v>0</v>
      </c>
      <c r="Z21" s="56" t="n">
        <f aca="false">ROUND(P20*(1+N(Debts!$D$5)/12),2)</f>
        <v>0</v>
      </c>
      <c r="AA21" s="56" t="n">
        <f aca="false">ROUND(Q20*(1+N(Debts!$D$6)/12),2)</f>
        <v>1418.13</v>
      </c>
      <c r="AB21" s="56" t="n">
        <f aca="false">ROUND(R20*(1+N(Debts!$D$7)/12),2)</f>
        <v>8616.41</v>
      </c>
      <c r="AC21" s="56" t="n">
        <f aca="false">ROUND(S20*(1+N(Debts!$D$8)/12),2)</f>
        <v>2524.96</v>
      </c>
      <c r="AD21" s="56" t="n">
        <f aca="false">ROUND(T20*(1+N(Debts!$D$9)/12),2)</f>
        <v>100</v>
      </c>
      <c r="AE21" s="56" t="n">
        <f aca="false">ROUND(U20*(1+N(Debts!$D$10)/12),2)</f>
        <v>16501.59</v>
      </c>
      <c r="AF21" s="56" t="n">
        <f aca="false">ROUND(V20*(1+N(Debts!$D$11)/12),2)</f>
        <v>0</v>
      </c>
      <c r="AG21" s="56" t="n">
        <f aca="false">ROUND(W20*(1+N(Debts!$D$12)/12),2)</f>
        <v>0</v>
      </c>
      <c r="AH21" s="56" t="n">
        <f aca="false">ROUND(X20*(1+N(Debts!$D$13)/12),2)</f>
        <v>0</v>
      </c>
      <c r="AI21" s="56" t="n">
        <f aca="false">ROUND(Y20*(1+N(Debts!$D$14)/12),2)</f>
        <v>0</v>
      </c>
      <c r="AJ21" s="56" t="n">
        <f aca="false">MIN(Z21,MAX(0,N(Debts!$E$5)))</f>
        <v>0</v>
      </c>
      <c r="AK21" s="56" t="n">
        <f aca="false">MIN(AA21,MAX(0,N(Debts!$E$6)))</f>
        <v>170</v>
      </c>
      <c r="AL21" s="56" t="n">
        <f aca="false">MIN(AB21,MAX(0,N(Debts!$E$7)))</f>
        <v>310</v>
      </c>
      <c r="AM21" s="56" t="n">
        <f aca="false">MIN(AC21,MAX(0,N(Debts!$E$8)))</f>
        <v>145</v>
      </c>
      <c r="AN21" s="56" t="n">
        <f aca="false">MIN(AD21,MAX(0,N(Debts!$E$9)))</f>
        <v>50</v>
      </c>
      <c r="AO21" s="56" t="n">
        <f aca="false">MIN(AE21,MAX(0,N(Debts!$E$10)))</f>
        <v>210</v>
      </c>
      <c r="AP21" s="56" t="n">
        <f aca="false">MIN(AF21,MAX(0,N(Debts!$E$11)))</f>
        <v>0</v>
      </c>
      <c r="AQ21" s="56" t="n">
        <f aca="false">MIN(AG21,MAX(0,N(Debts!$E$12)))</f>
        <v>0</v>
      </c>
      <c r="AR21" s="56" t="n">
        <f aca="false">MIN(AH21,MAX(0,N(Debts!$E$13)))</f>
        <v>0</v>
      </c>
      <c r="AS21" s="56" t="n">
        <f aca="false">MIN(AI21,MAX(0,N(Debts!$E$14)))</f>
        <v>0</v>
      </c>
    </row>
    <row r="22" customFormat="false" ht="15" hidden="false" customHeight="false" outlineLevel="0" collapsed="false">
      <c r="A22" s="53" t="n">
        <v>18</v>
      </c>
      <c r="B22" s="54" t="n">
        <f aca="false">EDATE('Start Here'!$B$8,17)</f>
        <v>46844</v>
      </c>
      <c r="C22" s="42" t="n">
        <f aca="false">SUM(F22:O22)</f>
        <v>1220</v>
      </c>
      <c r="D22" s="42" t="n">
        <f aca="false">ROUND(SUM($Z22:$AI22)-SUM(P21:Y21),2)</f>
        <v>173.23</v>
      </c>
      <c r="E22" s="55" t="n">
        <f aca="false">SUM(P22:Y22)</f>
        <v>26894.32</v>
      </c>
      <c r="F22" s="42" t="n">
        <f aca="false">AJ22+MIN(Z22-AJ22,MAX(0,'Start Here'!$B$10-SUM($AJ22:$AS22)-SUMPRODUCT(($Z$3:$AI$3&lt;Z$3)*($Z22:$AI22-$AJ22:$AS22))))</f>
        <v>0</v>
      </c>
      <c r="G22" s="42" t="n">
        <f aca="false">AK22+MIN(AA22-AK22,MAX(0,'Start Here'!$B$10-SUM($AJ22:$AS22)-SUMPRODUCT(($Z$3:$AI$3&lt;AA$3)*($Z22:$AI22-$AJ22:$AS22))))</f>
        <v>505</v>
      </c>
      <c r="H22" s="42" t="n">
        <f aca="false">AL22+MIN(AB22-AL22,MAX(0,'Start Here'!$B$10-SUM($AJ22:$AS22)-SUMPRODUCT(($Z$3:$AI$3&lt;AB$3)*($Z22:$AI22-$AJ22:$AS22))))</f>
        <v>310</v>
      </c>
      <c r="I22" s="42" t="n">
        <f aca="false">AM22+MIN(AC22-AM22,MAX(0,'Start Here'!$B$10-SUM($AJ22:$AS22)-SUMPRODUCT(($Z$3:$AI$3&lt;AC$3)*($Z22:$AI22-$AJ22:$AS22))))</f>
        <v>145</v>
      </c>
      <c r="J22" s="42" t="n">
        <f aca="false">AN22+MIN(AD22-AN22,MAX(0,'Start Here'!$B$10-SUM($AJ22:$AS22)-SUMPRODUCT(($Z$3:$AI$3&lt;AD$3)*($Z22:$AI22-$AJ22:$AS22))))</f>
        <v>50</v>
      </c>
      <c r="K22" s="42" t="n">
        <f aca="false">AO22+MIN(AE22-AO22,MAX(0,'Start Here'!$B$10-SUM($AJ22:$AS22)-SUMPRODUCT(($Z$3:$AI$3&lt;AE$3)*($Z22:$AI22-$AJ22:$AS22))))</f>
        <v>210</v>
      </c>
      <c r="L22" s="42" t="n">
        <f aca="false">AP22+MIN(AF22-AP22,MAX(0,'Start Here'!$B$10-SUM($AJ22:$AS22)-SUMPRODUCT(($Z$3:$AI$3&lt;AF$3)*($Z22:$AI22-$AJ22:$AS22))))</f>
        <v>0</v>
      </c>
      <c r="M22" s="42" t="n">
        <f aca="false">AQ22+MIN(AG22-AQ22,MAX(0,'Start Here'!$B$10-SUM($AJ22:$AS22)-SUMPRODUCT(($Z$3:$AI$3&lt;AG$3)*($Z22:$AI22-$AJ22:$AS22))))</f>
        <v>0</v>
      </c>
      <c r="N22" s="42" t="n">
        <f aca="false">AR22+MIN(AH22-AR22,MAX(0,'Start Here'!$B$10-SUM($AJ22:$AS22)-SUMPRODUCT(($Z$3:$AI$3&lt;AH$3)*($Z22:$AI22-$AJ22:$AS22))))</f>
        <v>0</v>
      </c>
      <c r="O22" s="42" t="n">
        <f aca="false">AS22+MIN(AI22-AS22,MAX(0,'Start Here'!$B$10-SUM($AJ22:$AS22)-SUMPRODUCT(($Z$3:$AI$3&lt;AI$3)*($Z22:$AI22-$AJ22:$AS22))))</f>
        <v>0</v>
      </c>
      <c r="P22" s="42" t="n">
        <f aca="false">ROUND(Z22-F22,2)</f>
        <v>0</v>
      </c>
      <c r="Q22" s="42" t="n">
        <f aca="false">ROUND(AA22-G22,2)</f>
        <v>425.24</v>
      </c>
      <c r="R22" s="42" t="n">
        <f aca="false">ROUND(AB22-H22,2)</f>
        <v>8051.09</v>
      </c>
      <c r="S22" s="42" t="n">
        <f aca="false">ROUND(AC22-I22,2)</f>
        <v>2261.73</v>
      </c>
      <c r="T22" s="42" t="n">
        <f aca="false">ROUND(AD22-J22,2)</f>
        <v>0</v>
      </c>
      <c r="U22" s="42" t="n">
        <f aca="false">ROUND(AE22-K22,2)</f>
        <v>16156.26</v>
      </c>
      <c r="V22" s="42" t="n">
        <f aca="false">ROUND(AF22-L22,2)</f>
        <v>0</v>
      </c>
      <c r="W22" s="42" t="n">
        <f aca="false">ROUND(AG22-M22,2)</f>
        <v>0</v>
      </c>
      <c r="X22" s="42" t="n">
        <f aca="false">ROUND(AH22-N22,2)</f>
        <v>0</v>
      </c>
      <c r="Y22" s="42" t="n">
        <f aca="false">ROUND(AI22-O22,2)</f>
        <v>0</v>
      </c>
      <c r="Z22" s="56" t="n">
        <f aca="false">ROUND(P21*(1+N(Debts!$D$5)/12),2)</f>
        <v>0</v>
      </c>
      <c r="AA22" s="56" t="n">
        <f aca="false">ROUND(Q21*(1+N(Debts!$D$6)/12),2)</f>
        <v>930.24</v>
      </c>
      <c r="AB22" s="56" t="n">
        <f aca="false">ROUND(R21*(1+N(Debts!$D$7)/12),2)</f>
        <v>8361.09</v>
      </c>
      <c r="AC22" s="56" t="n">
        <f aca="false">ROUND(S21*(1+N(Debts!$D$8)/12),2)</f>
        <v>2406.73</v>
      </c>
      <c r="AD22" s="56" t="n">
        <f aca="false">ROUND(T21*(1+N(Debts!$D$9)/12),2)</f>
        <v>50</v>
      </c>
      <c r="AE22" s="56" t="n">
        <f aca="false">ROUND(U21*(1+N(Debts!$D$10)/12),2)</f>
        <v>16366.26</v>
      </c>
      <c r="AF22" s="56" t="n">
        <f aca="false">ROUND(V21*(1+N(Debts!$D$11)/12),2)</f>
        <v>0</v>
      </c>
      <c r="AG22" s="56" t="n">
        <f aca="false">ROUND(W21*(1+N(Debts!$D$12)/12),2)</f>
        <v>0</v>
      </c>
      <c r="AH22" s="56" t="n">
        <f aca="false">ROUND(X21*(1+N(Debts!$D$13)/12),2)</f>
        <v>0</v>
      </c>
      <c r="AI22" s="56" t="n">
        <f aca="false">ROUND(Y21*(1+N(Debts!$D$14)/12),2)</f>
        <v>0</v>
      </c>
      <c r="AJ22" s="56" t="n">
        <f aca="false">MIN(Z22,MAX(0,N(Debts!$E$5)))</f>
        <v>0</v>
      </c>
      <c r="AK22" s="56" t="n">
        <f aca="false">MIN(AA22,MAX(0,N(Debts!$E$6)))</f>
        <v>170</v>
      </c>
      <c r="AL22" s="56" t="n">
        <f aca="false">MIN(AB22,MAX(0,N(Debts!$E$7)))</f>
        <v>310</v>
      </c>
      <c r="AM22" s="56" t="n">
        <f aca="false">MIN(AC22,MAX(0,N(Debts!$E$8)))</f>
        <v>145</v>
      </c>
      <c r="AN22" s="56" t="n">
        <f aca="false">MIN(AD22,MAX(0,N(Debts!$E$9)))</f>
        <v>50</v>
      </c>
      <c r="AO22" s="56" t="n">
        <f aca="false">MIN(AE22,MAX(0,N(Debts!$E$10)))</f>
        <v>210</v>
      </c>
      <c r="AP22" s="56" t="n">
        <f aca="false">MIN(AF22,MAX(0,N(Debts!$E$11)))</f>
        <v>0</v>
      </c>
      <c r="AQ22" s="56" t="n">
        <f aca="false">MIN(AG22,MAX(0,N(Debts!$E$12)))</f>
        <v>0</v>
      </c>
      <c r="AR22" s="56" t="n">
        <f aca="false">MIN(AH22,MAX(0,N(Debts!$E$13)))</f>
        <v>0</v>
      </c>
      <c r="AS22" s="56" t="n">
        <f aca="false">MIN(AI22,MAX(0,N(Debts!$E$14)))</f>
        <v>0</v>
      </c>
    </row>
    <row r="23" customFormat="false" ht="15" hidden="false" customHeight="false" outlineLevel="0" collapsed="false">
      <c r="A23" s="53" t="n">
        <v>19</v>
      </c>
      <c r="B23" s="54" t="n">
        <f aca="false">EDATE('Start Here'!$B$8,18)</f>
        <v>46874</v>
      </c>
      <c r="C23" s="42" t="n">
        <f aca="false">SUM(F23:O23)</f>
        <v>1220</v>
      </c>
      <c r="D23" s="42" t="n">
        <f aca="false">ROUND(SUM($Z23:$AI23)-SUM(P22:Y22),2)</f>
        <v>160.46</v>
      </c>
      <c r="E23" s="55" t="n">
        <f aca="false">SUM(P23:Y23)</f>
        <v>25834.78</v>
      </c>
      <c r="F23" s="42" t="n">
        <f aca="false">AJ23+MIN(Z23-AJ23,MAX(0,'Start Here'!$B$10-SUM($AJ23:$AS23)-SUMPRODUCT(($Z$3:$AI$3&lt;Z$3)*($Z23:$AI23-$AJ23:$AS23))))</f>
        <v>0</v>
      </c>
      <c r="G23" s="42" t="n">
        <f aca="false">AK23+MIN(AA23-AK23,MAX(0,'Start Here'!$B$10-SUM($AJ23:$AS23)-SUMPRODUCT(($Z$3:$AI$3&lt;AA$3)*($Z23:$AI23-$AJ23:$AS23))))</f>
        <v>433.21</v>
      </c>
      <c r="H23" s="42" t="n">
        <f aca="false">AL23+MIN(AB23-AL23,MAX(0,'Start Here'!$B$10-SUM($AJ23:$AS23)-SUMPRODUCT(($Z$3:$AI$3&lt;AB$3)*($Z23:$AI23-$AJ23:$AS23))))</f>
        <v>310</v>
      </c>
      <c r="I23" s="42" t="n">
        <f aca="false">AM23+MIN(AC23-AM23,MAX(0,'Start Here'!$B$10-SUM($AJ23:$AS23)-SUMPRODUCT(($Z$3:$AI$3&lt;AC$3)*($Z23:$AI23-$AJ23:$AS23))))</f>
        <v>266.79</v>
      </c>
      <c r="J23" s="42" t="n">
        <f aca="false">AN23+MIN(AD23-AN23,MAX(0,'Start Here'!$B$10-SUM($AJ23:$AS23)-SUMPRODUCT(($Z$3:$AI$3&lt;AD$3)*($Z23:$AI23-$AJ23:$AS23))))</f>
        <v>0</v>
      </c>
      <c r="K23" s="42" t="n">
        <f aca="false">AO23+MIN(AE23-AO23,MAX(0,'Start Here'!$B$10-SUM($AJ23:$AS23)-SUMPRODUCT(($Z$3:$AI$3&lt;AE$3)*($Z23:$AI23-$AJ23:$AS23))))</f>
        <v>210</v>
      </c>
      <c r="L23" s="42" t="n">
        <f aca="false">AP23+MIN(AF23-AP23,MAX(0,'Start Here'!$B$10-SUM($AJ23:$AS23)-SUMPRODUCT(($Z$3:$AI$3&lt;AF$3)*($Z23:$AI23-$AJ23:$AS23))))</f>
        <v>0</v>
      </c>
      <c r="M23" s="42" t="n">
        <f aca="false">AQ23+MIN(AG23-AQ23,MAX(0,'Start Here'!$B$10-SUM($AJ23:$AS23)-SUMPRODUCT(($Z$3:$AI$3&lt;AG$3)*($Z23:$AI23-$AJ23:$AS23))))</f>
        <v>0</v>
      </c>
      <c r="N23" s="42" t="n">
        <f aca="false">AR23+MIN(AH23-AR23,MAX(0,'Start Here'!$B$10-SUM($AJ23:$AS23)-SUMPRODUCT(($Z$3:$AI$3&lt;AH$3)*($Z23:$AI23-$AJ23:$AS23))))</f>
        <v>0</v>
      </c>
      <c r="O23" s="42" t="n">
        <f aca="false">AS23+MIN(AI23-AS23,MAX(0,'Start Here'!$B$10-SUM($AJ23:$AS23)-SUMPRODUCT(($Z$3:$AI$3&lt;AI$3)*($Z23:$AI23-$AJ23:$AS23))))</f>
        <v>0</v>
      </c>
      <c r="P23" s="42" t="n">
        <f aca="false">ROUND(Z23-F23,2)</f>
        <v>0</v>
      </c>
      <c r="Q23" s="42" t="n">
        <f aca="false">ROUND(AA23-G23,2)</f>
        <v>0</v>
      </c>
      <c r="R23" s="42" t="n">
        <f aca="false">ROUND(AB23-H23,2)</f>
        <v>7794.09</v>
      </c>
      <c r="S23" s="42" t="n">
        <f aca="false">ROUND(AC23-I23,2)</f>
        <v>2020.38</v>
      </c>
      <c r="T23" s="42" t="n">
        <f aca="false">ROUND(AD23-J23,2)</f>
        <v>0</v>
      </c>
      <c r="U23" s="42" t="n">
        <f aca="false">ROUND(AE23-K23,2)</f>
        <v>16020.31</v>
      </c>
      <c r="V23" s="42" t="n">
        <f aca="false">ROUND(AF23-L23,2)</f>
        <v>0</v>
      </c>
      <c r="W23" s="42" t="n">
        <f aca="false">ROUND(AG23-M23,2)</f>
        <v>0</v>
      </c>
      <c r="X23" s="42" t="n">
        <f aca="false">ROUND(AH23-N23,2)</f>
        <v>0</v>
      </c>
      <c r="Y23" s="42" t="n">
        <f aca="false">ROUND(AI23-O23,2)</f>
        <v>0</v>
      </c>
      <c r="Z23" s="56" t="n">
        <f aca="false">ROUND(P22*(1+N(Debts!$D$5)/12),2)</f>
        <v>0</v>
      </c>
      <c r="AA23" s="56" t="n">
        <f aca="false">ROUND(Q22*(1+N(Debts!$D$6)/12),2)</f>
        <v>433.21</v>
      </c>
      <c r="AB23" s="56" t="n">
        <f aca="false">ROUND(R22*(1+N(Debts!$D$7)/12),2)</f>
        <v>8104.09</v>
      </c>
      <c r="AC23" s="56" t="n">
        <f aca="false">ROUND(S22*(1+N(Debts!$D$8)/12),2)</f>
        <v>2287.17</v>
      </c>
      <c r="AD23" s="56" t="n">
        <f aca="false">ROUND(T22*(1+N(Debts!$D$9)/12),2)</f>
        <v>0</v>
      </c>
      <c r="AE23" s="56" t="n">
        <f aca="false">ROUND(U22*(1+N(Debts!$D$10)/12),2)</f>
        <v>16230.31</v>
      </c>
      <c r="AF23" s="56" t="n">
        <f aca="false">ROUND(V22*(1+N(Debts!$D$11)/12),2)</f>
        <v>0</v>
      </c>
      <c r="AG23" s="56" t="n">
        <f aca="false">ROUND(W22*(1+N(Debts!$D$12)/12),2)</f>
        <v>0</v>
      </c>
      <c r="AH23" s="56" t="n">
        <f aca="false">ROUND(X22*(1+N(Debts!$D$13)/12),2)</f>
        <v>0</v>
      </c>
      <c r="AI23" s="56" t="n">
        <f aca="false">ROUND(Y22*(1+N(Debts!$D$14)/12),2)</f>
        <v>0</v>
      </c>
      <c r="AJ23" s="56" t="n">
        <f aca="false">MIN(Z23,MAX(0,N(Debts!$E$5)))</f>
        <v>0</v>
      </c>
      <c r="AK23" s="56" t="n">
        <f aca="false">MIN(AA23,MAX(0,N(Debts!$E$6)))</f>
        <v>170</v>
      </c>
      <c r="AL23" s="56" t="n">
        <f aca="false">MIN(AB23,MAX(0,N(Debts!$E$7)))</f>
        <v>310</v>
      </c>
      <c r="AM23" s="56" t="n">
        <f aca="false">MIN(AC23,MAX(0,N(Debts!$E$8)))</f>
        <v>145</v>
      </c>
      <c r="AN23" s="56" t="n">
        <f aca="false">MIN(AD23,MAX(0,N(Debts!$E$9)))</f>
        <v>0</v>
      </c>
      <c r="AO23" s="56" t="n">
        <f aca="false">MIN(AE23,MAX(0,N(Debts!$E$10)))</f>
        <v>210</v>
      </c>
      <c r="AP23" s="56" t="n">
        <f aca="false">MIN(AF23,MAX(0,N(Debts!$E$11)))</f>
        <v>0</v>
      </c>
      <c r="AQ23" s="56" t="n">
        <f aca="false">MIN(AG23,MAX(0,N(Debts!$E$12)))</f>
        <v>0</v>
      </c>
      <c r="AR23" s="56" t="n">
        <f aca="false">MIN(AH23,MAX(0,N(Debts!$E$13)))</f>
        <v>0</v>
      </c>
      <c r="AS23" s="56" t="n">
        <f aca="false">MIN(AI23,MAX(0,N(Debts!$E$14)))</f>
        <v>0</v>
      </c>
    </row>
    <row r="24" customFormat="false" ht="15" hidden="false" customHeight="false" outlineLevel="0" collapsed="false">
      <c r="A24" s="53" t="n">
        <v>20</v>
      </c>
      <c r="B24" s="54" t="n">
        <f aca="false">EDATE('Start Here'!$B$8,19)</f>
        <v>46905</v>
      </c>
      <c r="C24" s="42" t="n">
        <f aca="false">SUM(F24:O24)</f>
        <v>1220</v>
      </c>
      <c r="D24" s="42" t="n">
        <f aca="false">ROUND(SUM($Z24:$AI24)-SUM(P23:Y23),2)</f>
        <v>147.47</v>
      </c>
      <c r="E24" s="55" t="n">
        <f aca="false">SUM(P24:Y24)</f>
        <v>24762.25</v>
      </c>
      <c r="F24" s="42" t="n">
        <f aca="false">AJ24+MIN(Z24-AJ24,MAX(0,'Start Here'!$B$10-SUM($AJ24:$AS24)-SUMPRODUCT(($Z$3:$AI$3&lt;Z$3)*($Z24:$AI24-$AJ24:$AS24))))</f>
        <v>0</v>
      </c>
      <c r="G24" s="42" t="n">
        <f aca="false">AK24+MIN(AA24-AK24,MAX(0,'Start Here'!$B$10-SUM($AJ24:$AS24)-SUMPRODUCT(($Z$3:$AI$3&lt;AA$3)*($Z24:$AI24-$AJ24:$AS24))))</f>
        <v>0</v>
      </c>
      <c r="H24" s="42" t="n">
        <f aca="false">AL24+MIN(AB24-AL24,MAX(0,'Start Here'!$B$10-SUM($AJ24:$AS24)-SUMPRODUCT(($Z$3:$AI$3&lt;AB$3)*($Z24:$AI24-$AJ24:$AS24))))</f>
        <v>310</v>
      </c>
      <c r="I24" s="42" t="n">
        <f aca="false">AM24+MIN(AC24-AM24,MAX(0,'Start Here'!$B$10-SUM($AJ24:$AS24)-SUMPRODUCT(($Z$3:$AI$3&lt;AC$3)*($Z24:$AI24-$AJ24:$AS24))))</f>
        <v>700</v>
      </c>
      <c r="J24" s="42" t="n">
        <f aca="false">AN24+MIN(AD24-AN24,MAX(0,'Start Here'!$B$10-SUM($AJ24:$AS24)-SUMPRODUCT(($Z$3:$AI$3&lt;AD$3)*($Z24:$AI24-$AJ24:$AS24))))</f>
        <v>0</v>
      </c>
      <c r="K24" s="42" t="n">
        <f aca="false">AO24+MIN(AE24-AO24,MAX(0,'Start Here'!$B$10-SUM($AJ24:$AS24)-SUMPRODUCT(($Z$3:$AI$3&lt;AE$3)*($Z24:$AI24-$AJ24:$AS24))))</f>
        <v>210</v>
      </c>
      <c r="L24" s="42" t="n">
        <f aca="false">AP24+MIN(AF24-AP24,MAX(0,'Start Here'!$B$10-SUM($AJ24:$AS24)-SUMPRODUCT(($Z$3:$AI$3&lt;AF$3)*($Z24:$AI24-$AJ24:$AS24))))</f>
        <v>0</v>
      </c>
      <c r="M24" s="42" t="n">
        <f aca="false">AQ24+MIN(AG24-AQ24,MAX(0,'Start Here'!$B$10-SUM($AJ24:$AS24)-SUMPRODUCT(($Z$3:$AI$3&lt;AG$3)*($Z24:$AI24-$AJ24:$AS24))))</f>
        <v>0</v>
      </c>
      <c r="N24" s="42" t="n">
        <f aca="false">AR24+MIN(AH24-AR24,MAX(0,'Start Here'!$B$10-SUM($AJ24:$AS24)-SUMPRODUCT(($Z$3:$AI$3&lt;AH$3)*($Z24:$AI24-$AJ24:$AS24))))</f>
        <v>0</v>
      </c>
      <c r="O24" s="42" t="n">
        <f aca="false">AS24+MIN(AI24-AS24,MAX(0,'Start Here'!$B$10-SUM($AJ24:$AS24)-SUMPRODUCT(($Z$3:$AI$3&lt;AI$3)*($Z24:$AI24-$AJ24:$AS24))))</f>
        <v>0</v>
      </c>
      <c r="P24" s="42" t="n">
        <f aca="false">ROUND(Z24-F24,2)</f>
        <v>0</v>
      </c>
      <c r="Q24" s="42" t="n">
        <f aca="false">ROUND(AA24-G24,2)</f>
        <v>0</v>
      </c>
      <c r="R24" s="42" t="n">
        <f aca="false">ROUND(AB24-H24,2)</f>
        <v>7535.4</v>
      </c>
      <c r="S24" s="42" t="n">
        <f aca="false">ROUND(AC24-I24,2)</f>
        <v>1343.11</v>
      </c>
      <c r="T24" s="42" t="n">
        <f aca="false">ROUND(AD24-J24,2)</f>
        <v>0</v>
      </c>
      <c r="U24" s="42" t="n">
        <f aca="false">ROUND(AE24-K24,2)</f>
        <v>15883.74</v>
      </c>
      <c r="V24" s="42" t="n">
        <f aca="false">ROUND(AF24-L24,2)</f>
        <v>0</v>
      </c>
      <c r="W24" s="42" t="n">
        <f aca="false">ROUND(AG24-M24,2)</f>
        <v>0</v>
      </c>
      <c r="X24" s="42" t="n">
        <f aca="false">ROUND(AH24-N24,2)</f>
        <v>0</v>
      </c>
      <c r="Y24" s="42" t="n">
        <f aca="false">ROUND(AI24-O24,2)</f>
        <v>0</v>
      </c>
      <c r="Z24" s="56" t="n">
        <f aca="false">ROUND(P23*(1+N(Debts!$D$5)/12),2)</f>
        <v>0</v>
      </c>
      <c r="AA24" s="56" t="n">
        <f aca="false">ROUND(Q23*(1+N(Debts!$D$6)/12),2)</f>
        <v>0</v>
      </c>
      <c r="AB24" s="56" t="n">
        <f aca="false">ROUND(R23*(1+N(Debts!$D$7)/12),2)</f>
        <v>7845.4</v>
      </c>
      <c r="AC24" s="56" t="n">
        <f aca="false">ROUND(S23*(1+N(Debts!$D$8)/12),2)</f>
        <v>2043.11</v>
      </c>
      <c r="AD24" s="56" t="n">
        <f aca="false">ROUND(T23*(1+N(Debts!$D$9)/12),2)</f>
        <v>0</v>
      </c>
      <c r="AE24" s="56" t="n">
        <f aca="false">ROUND(U23*(1+N(Debts!$D$10)/12),2)</f>
        <v>16093.74</v>
      </c>
      <c r="AF24" s="56" t="n">
        <f aca="false">ROUND(V23*(1+N(Debts!$D$11)/12),2)</f>
        <v>0</v>
      </c>
      <c r="AG24" s="56" t="n">
        <f aca="false">ROUND(W23*(1+N(Debts!$D$12)/12),2)</f>
        <v>0</v>
      </c>
      <c r="AH24" s="56" t="n">
        <f aca="false">ROUND(X23*(1+N(Debts!$D$13)/12),2)</f>
        <v>0</v>
      </c>
      <c r="AI24" s="56" t="n">
        <f aca="false">ROUND(Y23*(1+N(Debts!$D$14)/12),2)</f>
        <v>0</v>
      </c>
      <c r="AJ24" s="56" t="n">
        <f aca="false">MIN(Z24,MAX(0,N(Debts!$E$5)))</f>
        <v>0</v>
      </c>
      <c r="AK24" s="56" t="n">
        <f aca="false">MIN(AA24,MAX(0,N(Debts!$E$6)))</f>
        <v>0</v>
      </c>
      <c r="AL24" s="56" t="n">
        <f aca="false">MIN(AB24,MAX(0,N(Debts!$E$7)))</f>
        <v>310</v>
      </c>
      <c r="AM24" s="56" t="n">
        <f aca="false">MIN(AC24,MAX(0,N(Debts!$E$8)))</f>
        <v>145</v>
      </c>
      <c r="AN24" s="56" t="n">
        <f aca="false">MIN(AD24,MAX(0,N(Debts!$E$9)))</f>
        <v>0</v>
      </c>
      <c r="AO24" s="56" t="n">
        <f aca="false">MIN(AE24,MAX(0,N(Debts!$E$10)))</f>
        <v>210</v>
      </c>
      <c r="AP24" s="56" t="n">
        <f aca="false">MIN(AF24,MAX(0,N(Debts!$E$11)))</f>
        <v>0</v>
      </c>
      <c r="AQ24" s="56" t="n">
        <f aca="false">MIN(AG24,MAX(0,N(Debts!$E$12)))</f>
        <v>0</v>
      </c>
      <c r="AR24" s="56" t="n">
        <f aca="false">MIN(AH24,MAX(0,N(Debts!$E$13)))</f>
        <v>0</v>
      </c>
      <c r="AS24" s="56" t="n">
        <f aca="false">MIN(AI24,MAX(0,N(Debts!$E$14)))</f>
        <v>0</v>
      </c>
    </row>
    <row r="25" customFormat="false" ht="15" hidden="false" customHeight="false" outlineLevel="0" collapsed="false">
      <c r="A25" s="53" t="n">
        <v>21</v>
      </c>
      <c r="B25" s="54" t="n">
        <f aca="false">EDATE('Start Here'!$B$8,20)</f>
        <v>46935</v>
      </c>
      <c r="C25" s="42" t="n">
        <f aca="false">SUM(F25:O25)</f>
        <v>1220</v>
      </c>
      <c r="D25" s="42" t="n">
        <f aca="false">ROUND(SUM($Z25:$AI25)-SUM(P24:Y24),2)</f>
        <v>137.52</v>
      </c>
      <c r="E25" s="55" t="n">
        <f aca="false">SUM(P25:Y25)</f>
        <v>23679.77</v>
      </c>
      <c r="F25" s="42" t="n">
        <f aca="false">AJ25+MIN(Z25-AJ25,MAX(0,'Start Here'!$B$10-SUM($AJ25:$AS25)-SUMPRODUCT(($Z$3:$AI$3&lt;Z$3)*($Z25:$AI25-$AJ25:$AS25))))</f>
        <v>0</v>
      </c>
      <c r="G25" s="42" t="n">
        <f aca="false">AK25+MIN(AA25-AK25,MAX(0,'Start Here'!$B$10-SUM($AJ25:$AS25)-SUMPRODUCT(($Z$3:$AI$3&lt;AA$3)*($Z25:$AI25-$AJ25:$AS25))))</f>
        <v>0</v>
      </c>
      <c r="H25" s="42" t="n">
        <f aca="false">AL25+MIN(AB25-AL25,MAX(0,'Start Here'!$B$10-SUM($AJ25:$AS25)-SUMPRODUCT(($Z$3:$AI$3&lt;AB$3)*($Z25:$AI25-$AJ25:$AS25))))</f>
        <v>310</v>
      </c>
      <c r="I25" s="42" t="n">
        <f aca="false">AM25+MIN(AC25-AM25,MAX(0,'Start Here'!$B$10-SUM($AJ25:$AS25)-SUMPRODUCT(($Z$3:$AI$3&lt;AC$3)*($Z25:$AI25-$AJ25:$AS25))))</f>
        <v>700</v>
      </c>
      <c r="J25" s="42" t="n">
        <f aca="false">AN25+MIN(AD25-AN25,MAX(0,'Start Here'!$B$10-SUM($AJ25:$AS25)-SUMPRODUCT(($Z$3:$AI$3&lt;AD$3)*($Z25:$AI25-$AJ25:$AS25))))</f>
        <v>0</v>
      </c>
      <c r="K25" s="42" t="n">
        <f aca="false">AO25+MIN(AE25-AO25,MAX(0,'Start Here'!$B$10-SUM($AJ25:$AS25)-SUMPRODUCT(($Z$3:$AI$3&lt;AE$3)*($Z25:$AI25-$AJ25:$AS25))))</f>
        <v>210</v>
      </c>
      <c r="L25" s="42" t="n">
        <f aca="false">AP25+MIN(AF25-AP25,MAX(0,'Start Here'!$B$10-SUM($AJ25:$AS25)-SUMPRODUCT(($Z$3:$AI$3&lt;AF$3)*($Z25:$AI25-$AJ25:$AS25))))</f>
        <v>0</v>
      </c>
      <c r="M25" s="42" t="n">
        <f aca="false">AQ25+MIN(AG25-AQ25,MAX(0,'Start Here'!$B$10-SUM($AJ25:$AS25)-SUMPRODUCT(($Z$3:$AI$3&lt;AG$3)*($Z25:$AI25-$AJ25:$AS25))))</f>
        <v>0</v>
      </c>
      <c r="N25" s="42" t="n">
        <f aca="false">AR25+MIN(AH25-AR25,MAX(0,'Start Here'!$B$10-SUM($AJ25:$AS25)-SUMPRODUCT(($Z$3:$AI$3&lt;AH$3)*($Z25:$AI25-$AJ25:$AS25))))</f>
        <v>0</v>
      </c>
      <c r="O25" s="42" t="n">
        <f aca="false">AS25+MIN(AI25-AS25,MAX(0,'Start Here'!$B$10-SUM($AJ25:$AS25)-SUMPRODUCT(($Z$3:$AI$3&lt;AI$3)*($Z25:$AI25-$AJ25:$AS25))))</f>
        <v>0</v>
      </c>
      <c r="P25" s="42" t="n">
        <f aca="false">ROUND(Z25-F25,2)</f>
        <v>0</v>
      </c>
      <c r="Q25" s="42" t="n">
        <f aca="false">ROUND(AA25-G25,2)</f>
        <v>0</v>
      </c>
      <c r="R25" s="42" t="n">
        <f aca="false">ROUND(AB25-H25,2)</f>
        <v>7275.01</v>
      </c>
      <c r="S25" s="42" t="n">
        <f aca="false">ROUND(AC25-I25,2)</f>
        <v>658.22</v>
      </c>
      <c r="T25" s="42" t="n">
        <f aca="false">ROUND(AD25-J25,2)</f>
        <v>0</v>
      </c>
      <c r="U25" s="42" t="n">
        <f aca="false">ROUND(AE25-K25,2)</f>
        <v>15746.54</v>
      </c>
      <c r="V25" s="42" t="n">
        <f aca="false">ROUND(AF25-L25,2)</f>
        <v>0</v>
      </c>
      <c r="W25" s="42" t="n">
        <f aca="false">ROUND(AG25-M25,2)</f>
        <v>0</v>
      </c>
      <c r="X25" s="42" t="n">
        <f aca="false">ROUND(AH25-N25,2)</f>
        <v>0</v>
      </c>
      <c r="Y25" s="42" t="n">
        <f aca="false">ROUND(AI25-O25,2)</f>
        <v>0</v>
      </c>
      <c r="Z25" s="56" t="n">
        <f aca="false">ROUND(P24*(1+N(Debts!$D$5)/12),2)</f>
        <v>0</v>
      </c>
      <c r="AA25" s="56" t="n">
        <f aca="false">ROUND(Q24*(1+N(Debts!$D$6)/12),2)</f>
        <v>0</v>
      </c>
      <c r="AB25" s="56" t="n">
        <f aca="false">ROUND(R24*(1+N(Debts!$D$7)/12),2)</f>
        <v>7585.01</v>
      </c>
      <c r="AC25" s="56" t="n">
        <f aca="false">ROUND(S24*(1+N(Debts!$D$8)/12),2)</f>
        <v>1358.22</v>
      </c>
      <c r="AD25" s="56" t="n">
        <f aca="false">ROUND(T24*(1+N(Debts!$D$9)/12),2)</f>
        <v>0</v>
      </c>
      <c r="AE25" s="56" t="n">
        <f aca="false">ROUND(U24*(1+N(Debts!$D$10)/12),2)</f>
        <v>15956.54</v>
      </c>
      <c r="AF25" s="56" t="n">
        <f aca="false">ROUND(V24*(1+N(Debts!$D$11)/12),2)</f>
        <v>0</v>
      </c>
      <c r="AG25" s="56" t="n">
        <f aca="false">ROUND(W24*(1+N(Debts!$D$12)/12),2)</f>
        <v>0</v>
      </c>
      <c r="AH25" s="56" t="n">
        <f aca="false">ROUND(X24*(1+N(Debts!$D$13)/12),2)</f>
        <v>0</v>
      </c>
      <c r="AI25" s="56" t="n">
        <f aca="false">ROUND(Y24*(1+N(Debts!$D$14)/12),2)</f>
        <v>0</v>
      </c>
      <c r="AJ25" s="56" t="n">
        <f aca="false">MIN(Z25,MAX(0,N(Debts!$E$5)))</f>
        <v>0</v>
      </c>
      <c r="AK25" s="56" t="n">
        <f aca="false">MIN(AA25,MAX(0,N(Debts!$E$6)))</f>
        <v>0</v>
      </c>
      <c r="AL25" s="56" t="n">
        <f aca="false">MIN(AB25,MAX(0,N(Debts!$E$7)))</f>
        <v>310</v>
      </c>
      <c r="AM25" s="56" t="n">
        <f aca="false">MIN(AC25,MAX(0,N(Debts!$E$8)))</f>
        <v>145</v>
      </c>
      <c r="AN25" s="56" t="n">
        <f aca="false">MIN(AD25,MAX(0,N(Debts!$E$9)))</f>
        <v>0</v>
      </c>
      <c r="AO25" s="56" t="n">
        <f aca="false">MIN(AE25,MAX(0,N(Debts!$E$10)))</f>
        <v>210</v>
      </c>
      <c r="AP25" s="56" t="n">
        <f aca="false">MIN(AF25,MAX(0,N(Debts!$E$11)))</f>
        <v>0</v>
      </c>
      <c r="AQ25" s="56" t="n">
        <f aca="false">MIN(AG25,MAX(0,N(Debts!$E$12)))</f>
        <v>0</v>
      </c>
      <c r="AR25" s="56" t="n">
        <f aca="false">MIN(AH25,MAX(0,N(Debts!$E$13)))</f>
        <v>0</v>
      </c>
      <c r="AS25" s="56" t="n">
        <f aca="false">MIN(AI25,MAX(0,N(Debts!$E$14)))</f>
        <v>0</v>
      </c>
    </row>
    <row r="26" customFormat="false" ht="15" hidden="false" customHeight="false" outlineLevel="0" collapsed="false">
      <c r="A26" s="53" t="n">
        <v>22</v>
      </c>
      <c r="B26" s="54" t="n">
        <f aca="false">EDATE('Start Here'!$B$8,21)</f>
        <v>46966</v>
      </c>
      <c r="C26" s="42" t="n">
        <f aca="false">SUM(F26:O26)</f>
        <v>1220</v>
      </c>
      <c r="D26" s="42" t="n">
        <f aca="false">ROUND(SUM($Z26:$AI26)-SUM(P25:Y25),2)</f>
        <v>127.46</v>
      </c>
      <c r="E26" s="55" t="n">
        <f aca="false">SUM(P26:Y26)</f>
        <v>22587.23</v>
      </c>
      <c r="F26" s="42" t="n">
        <f aca="false">AJ26+MIN(Z26-AJ26,MAX(0,'Start Here'!$B$10-SUM($AJ26:$AS26)-SUMPRODUCT(($Z$3:$AI$3&lt;Z$3)*($Z26:$AI26-$AJ26:$AS26))))</f>
        <v>0</v>
      </c>
      <c r="G26" s="42" t="n">
        <f aca="false">AK26+MIN(AA26-AK26,MAX(0,'Start Here'!$B$10-SUM($AJ26:$AS26)-SUMPRODUCT(($Z$3:$AI$3&lt;AA$3)*($Z26:$AI26-$AJ26:$AS26))))</f>
        <v>0</v>
      </c>
      <c r="H26" s="42" t="n">
        <f aca="false">AL26+MIN(AB26-AL26,MAX(0,'Start Here'!$B$10-SUM($AJ26:$AS26)-SUMPRODUCT(($Z$3:$AI$3&lt;AB$3)*($Z26:$AI26-$AJ26:$AS26))))</f>
        <v>344.38</v>
      </c>
      <c r="I26" s="42" t="n">
        <f aca="false">AM26+MIN(AC26-AM26,MAX(0,'Start Here'!$B$10-SUM($AJ26:$AS26)-SUMPRODUCT(($Z$3:$AI$3&lt;AC$3)*($Z26:$AI26-$AJ26:$AS26))))</f>
        <v>665.62</v>
      </c>
      <c r="J26" s="42" t="n">
        <f aca="false">AN26+MIN(AD26-AN26,MAX(0,'Start Here'!$B$10-SUM($AJ26:$AS26)-SUMPRODUCT(($Z$3:$AI$3&lt;AD$3)*($Z26:$AI26-$AJ26:$AS26))))</f>
        <v>0</v>
      </c>
      <c r="K26" s="42" t="n">
        <f aca="false">AO26+MIN(AE26-AO26,MAX(0,'Start Here'!$B$10-SUM($AJ26:$AS26)-SUMPRODUCT(($Z$3:$AI$3&lt;AE$3)*($Z26:$AI26-$AJ26:$AS26))))</f>
        <v>210</v>
      </c>
      <c r="L26" s="42" t="n">
        <f aca="false">AP26+MIN(AF26-AP26,MAX(0,'Start Here'!$B$10-SUM($AJ26:$AS26)-SUMPRODUCT(($Z$3:$AI$3&lt;AF$3)*($Z26:$AI26-$AJ26:$AS26))))</f>
        <v>0</v>
      </c>
      <c r="M26" s="42" t="n">
        <f aca="false">AQ26+MIN(AG26-AQ26,MAX(0,'Start Here'!$B$10-SUM($AJ26:$AS26)-SUMPRODUCT(($Z$3:$AI$3&lt;AG$3)*($Z26:$AI26-$AJ26:$AS26))))</f>
        <v>0</v>
      </c>
      <c r="N26" s="42" t="n">
        <f aca="false">AR26+MIN(AH26-AR26,MAX(0,'Start Here'!$B$10-SUM($AJ26:$AS26)-SUMPRODUCT(($Z$3:$AI$3&lt;AH$3)*($Z26:$AI26-$AJ26:$AS26))))</f>
        <v>0</v>
      </c>
      <c r="O26" s="42" t="n">
        <f aca="false">AS26+MIN(AI26-AS26,MAX(0,'Start Here'!$B$10-SUM($AJ26:$AS26)-SUMPRODUCT(($Z$3:$AI$3&lt;AI$3)*($Z26:$AI26-$AJ26:$AS26))))</f>
        <v>0</v>
      </c>
      <c r="P26" s="42" t="n">
        <f aca="false">ROUND(Z26-F26,2)</f>
        <v>0</v>
      </c>
      <c r="Q26" s="42" t="n">
        <f aca="false">ROUND(AA26-G26,2)</f>
        <v>0</v>
      </c>
      <c r="R26" s="42" t="n">
        <f aca="false">ROUND(AB26-H26,2)</f>
        <v>6978.52</v>
      </c>
      <c r="S26" s="42" t="n">
        <f aca="false">ROUND(AC26-I26,2)</f>
        <v>0</v>
      </c>
      <c r="T26" s="42" t="n">
        <f aca="false">ROUND(AD26-J26,2)</f>
        <v>0</v>
      </c>
      <c r="U26" s="42" t="n">
        <f aca="false">ROUND(AE26-K26,2)</f>
        <v>15608.71</v>
      </c>
      <c r="V26" s="42" t="n">
        <f aca="false">ROUND(AF26-L26,2)</f>
        <v>0</v>
      </c>
      <c r="W26" s="42" t="n">
        <f aca="false">ROUND(AG26-M26,2)</f>
        <v>0</v>
      </c>
      <c r="X26" s="42" t="n">
        <f aca="false">ROUND(AH26-N26,2)</f>
        <v>0</v>
      </c>
      <c r="Y26" s="42" t="n">
        <f aca="false">ROUND(AI26-O26,2)</f>
        <v>0</v>
      </c>
      <c r="Z26" s="56" t="n">
        <f aca="false">ROUND(P25*(1+N(Debts!$D$5)/12),2)</f>
        <v>0</v>
      </c>
      <c r="AA26" s="56" t="n">
        <f aca="false">ROUND(Q25*(1+N(Debts!$D$6)/12),2)</f>
        <v>0</v>
      </c>
      <c r="AB26" s="56" t="n">
        <f aca="false">ROUND(R25*(1+N(Debts!$D$7)/12),2)</f>
        <v>7322.9</v>
      </c>
      <c r="AC26" s="56" t="n">
        <f aca="false">ROUND(S25*(1+N(Debts!$D$8)/12),2)</f>
        <v>665.62</v>
      </c>
      <c r="AD26" s="56" t="n">
        <f aca="false">ROUND(T25*(1+N(Debts!$D$9)/12),2)</f>
        <v>0</v>
      </c>
      <c r="AE26" s="56" t="n">
        <f aca="false">ROUND(U25*(1+N(Debts!$D$10)/12),2)</f>
        <v>15818.71</v>
      </c>
      <c r="AF26" s="56" t="n">
        <f aca="false">ROUND(V25*(1+N(Debts!$D$11)/12),2)</f>
        <v>0</v>
      </c>
      <c r="AG26" s="56" t="n">
        <f aca="false">ROUND(W25*(1+N(Debts!$D$12)/12),2)</f>
        <v>0</v>
      </c>
      <c r="AH26" s="56" t="n">
        <f aca="false">ROUND(X25*(1+N(Debts!$D$13)/12),2)</f>
        <v>0</v>
      </c>
      <c r="AI26" s="56" t="n">
        <f aca="false">ROUND(Y25*(1+N(Debts!$D$14)/12),2)</f>
        <v>0</v>
      </c>
      <c r="AJ26" s="56" t="n">
        <f aca="false">MIN(Z26,MAX(0,N(Debts!$E$5)))</f>
        <v>0</v>
      </c>
      <c r="AK26" s="56" t="n">
        <f aca="false">MIN(AA26,MAX(0,N(Debts!$E$6)))</f>
        <v>0</v>
      </c>
      <c r="AL26" s="56" t="n">
        <f aca="false">MIN(AB26,MAX(0,N(Debts!$E$7)))</f>
        <v>310</v>
      </c>
      <c r="AM26" s="56" t="n">
        <f aca="false">MIN(AC26,MAX(0,N(Debts!$E$8)))</f>
        <v>145</v>
      </c>
      <c r="AN26" s="56" t="n">
        <f aca="false">MIN(AD26,MAX(0,N(Debts!$E$9)))</f>
        <v>0</v>
      </c>
      <c r="AO26" s="56" t="n">
        <f aca="false">MIN(AE26,MAX(0,N(Debts!$E$10)))</f>
        <v>210</v>
      </c>
      <c r="AP26" s="56" t="n">
        <f aca="false">MIN(AF26,MAX(0,N(Debts!$E$11)))</f>
        <v>0</v>
      </c>
      <c r="AQ26" s="56" t="n">
        <f aca="false">MIN(AG26,MAX(0,N(Debts!$E$12)))</f>
        <v>0</v>
      </c>
      <c r="AR26" s="56" t="n">
        <f aca="false">MIN(AH26,MAX(0,N(Debts!$E$13)))</f>
        <v>0</v>
      </c>
      <c r="AS26" s="56" t="n">
        <f aca="false">MIN(AI26,MAX(0,N(Debts!$E$14)))</f>
        <v>0</v>
      </c>
    </row>
    <row r="27" customFormat="false" ht="15" hidden="false" customHeight="false" outlineLevel="0" collapsed="false">
      <c r="A27" s="53" t="n">
        <v>23</v>
      </c>
      <c r="B27" s="54" t="n">
        <f aca="false">EDATE('Start Here'!$B$8,22)</f>
        <v>46997</v>
      </c>
      <c r="C27" s="42" t="n">
        <f aca="false">SUM(F27:O27)</f>
        <v>1220</v>
      </c>
      <c r="D27" s="42" t="n">
        <f aca="false">ROUND(SUM($Z27:$AI27)-SUM(P26:Y26),2)</f>
        <v>117.48</v>
      </c>
      <c r="E27" s="55" t="n">
        <f aca="false">SUM(P27:Y27)</f>
        <v>21484.71</v>
      </c>
      <c r="F27" s="42" t="n">
        <f aca="false">AJ27+MIN(Z27-AJ27,MAX(0,'Start Here'!$B$10-SUM($AJ27:$AS27)-SUMPRODUCT(($Z$3:$AI$3&lt;Z$3)*($Z27:$AI27-$AJ27:$AS27))))</f>
        <v>0</v>
      </c>
      <c r="G27" s="42" t="n">
        <f aca="false">AK27+MIN(AA27-AK27,MAX(0,'Start Here'!$B$10-SUM($AJ27:$AS27)-SUMPRODUCT(($Z$3:$AI$3&lt;AA$3)*($Z27:$AI27-$AJ27:$AS27))))</f>
        <v>0</v>
      </c>
      <c r="H27" s="42" t="n">
        <f aca="false">AL27+MIN(AB27-AL27,MAX(0,'Start Here'!$B$10-SUM($AJ27:$AS27)-SUMPRODUCT(($Z$3:$AI$3&lt;AB$3)*($Z27:$AI27-$AJ27:$AS27))))</f>
        <v>1010</v>
      </c>
      <c r="I27" s="42" t="n">
        <f aca="false">AM27+MIN(AC27-AM27,MAX(0,'Start Here'!$B$10-SUM($AJ27:$AS27)-SUMPRODUCT(($Z$3:$AI$3&lt;AC$3)*($Z27:$AI27-$AJ27:$AS27))))</f>
        <v>0</v>
      </c>
      <c r="J27" s="42" t="n">
        <f aca="false">AN27+MIN(AD27-AN27,MAX(0,'Start Here'!$B$10-SUM($AJ27:$AS27)-SUMPRODUCT(($Z$3:$AI$3&lt;AD$3)*($Z27:$AI27-$AJ27:$AS27))))</f>
        <v>0</v>
      </c>
      <c r="K27" s="42" t="n">
        <f aca="false">AO27+MIN(AE27-AO27,MAX(0,'Start Here'!$B$10-SUM($AJ27:$AS27)-SUMPRODUCT(($Z$3:$AI$3&lt;AE$3)*($Z27:$AI27-$AJ27:$AS27))))</f>
        <v>210</v>
      </c>
      <c r="L27" s="42" t="n">
        <f aca="false">AP27+MIN(AF27-AP27,MAX(0,'Start Here'!$B$10-SUM($AJ27:$AS27)-SUMPRODUCT(($Z$3:$AI$3&lt;AF$3)*($Z27:$AI27-$AJ27:$AS27))))</f>
        <v>0</v>
      </c>
      <c r="M27" s="42" t="n">
        <f aca="false">AQ27+MIN(AG27-AQ27,MAX(0,'Start Here'!$B$10-SUM($AJ27:$AS27)-SUMPRODUCT(($Z$3:$AI$3&lt;AG$3)*($Z27:$AI27-$AJ27:$AS27))))</f>
        <v>0</v>
      </c>
      <c r="N27" s="42" t="n">
        <f aca="false">AR27+MIN(AH27-AR27,MAX(0,'Start Here'!$B$10-SUM($AJ27:$AS27)-SUMPRODUCT(($Z$3:$AI$3&lt;AH$3)*($Z27:$AI27-$AJ27:$AS27))))</f>
        <v>0</v>
      </c>
      <c r="O27" s="42" t="n">
        <f aca="false">AS27+MIN(AI27-AS27,MAX(0,'Start Here'!$B$10-SUM($AJ27:$AS27)-SUMPRODUCT(($Z$3:$AI$3&lt;AI$3)*($Z27:$AI27-$AJ27:$AS27))))</f>
        <v>0</v>
      </c>
      <c r="P27" s="42" t="n">
        <f aca="false">ROUND(Z27-F27,2)</f>
        <v>0</v>
      </c>
      <c r="Q27" s="42" t="n">
        <f aca="false">ROUND(AA27-G27,2)</f>
        <v>0</v>
      </c>
      <c r="R27" s="42" t="n">
        <f aca="false">ROUND(AB27-H27,2)</f>
        <v>6014.46</v>
      </c>
      <c r="S27" s="42" t="n">
        <f aca="false">ROUND(AC27-I27,2)</f>
        <v>0</v>
      </c>
      <c r="T27" s="42" t="n">
        <f aca="false">ROUND(AD27-J27,2)</f>
        <v>0</v>
      </c>
      <c r="U27" s="42" t="n">
        <f aca="false">ROUND(AE27-K27,2)</f>
        <v>15470.25</v>
      </c>
      <c r="V27" s="42" t="n">
        <f aca="false">ROUND(AF27-L27,2)</f>
        <v>0</v>
      </c>
      <c r="W27" s="42" t="n">
        <f aca="false">ROUND(AG27-M27,2)</f>
        <v>0</v>
      </c>
      <c r="X27" s="42" t="n">
        <f aca="false">ROUND(AH27-N27,2)</f>
        <v>0</v>
      </c>
      <c r="Y27" s="42" t="n">
        <f aca="false">ROUND(AI27-O27,2)</f>
        <v>0</v>
      </c>
      <c r="Z27" s="56" t="n">
        <f aca="false">ROUND(P26*(1+N(Debts!$D$5)/12),2)</f>
        <v>0</v>
      </c>
      <c r="AA27" s="56" t="n">
        <f aca="false">ROUND(Q26*(1+N(Debts!$D$6)/12),2)</f>
        <v>0</v>
      </c>
      <c r="AB27" s="56" t="n">
        <f aca="false">ROUND(R26*(1+N(Debts!$D$7)/12),2)</f>
        <v>7024.46</v>
      </c>
      <c r="AC27" s="56" t="n">
        <f aca="false">ROUND(S26*(1+N(Debts!$D$8)/12),2)</f>
        <v>0</v>
      </c>
      <c r="AD27" s="56" t="n">
        <f aca="false">ROUND(T26*(1+N(Debts!$D$9)/12),2)</f>
        <v>0</v>
      </c>
      <c r="AE27" s="56" t="n">
        <f aca="false">ROUND(U26*(1+N(Debts!$D$10)/12),2)</f>
        <v>15680.25</v>
      </c>
      <c r="AF27" s="56" t="n">
        <f aca="false">ROUND(V26*(1+N(Debts!$D$11)/12),2)</f>
        <v>0</v>
      </c>
      <c r="AG27" s="56" t="n">
        <f aca="false">ROUND(W26*(1+N(Debts!$D$12)/12),2)</f>
        <v>0</v>
      </c>
      <c r="AH27" s="56" t="n">
        <f aca="false">ROUND(X26*(1+N(Debts!$D$13)/12),2)</f>
        <v>0</v>
      </c>
      <c r="AI27" s="56" t="n">
        <f aca="false">ROUND(Y26*(1+N(Debts!$D$14)/12),2)</f>
        <v>0</v>
      </c>
      <c r="AJ27" s="56" t="n">
        <f aca="false">MIN(Z27,MAX(0,N(Debts!$E$5)))</f>
        <v>0</v>
      </c>
      <c r="AK27" s="56" t="n">
        <f aca="false">MIN(AA27,MAX(0,N(Debts!$E$6)))</f>
        <v>0</v>
      </c>
      <c r="AL27" s="56" t="n">
        <f aca="false">MIN(AB27,MAX(0,N(Debts!$E$7)))</f>
        <v>310</v>
      </c>
      <c r="AM27" s="56" t="n">
        <f aca="false">MIN(AC27,MAX(0,N(Debts!$E$8)))</f>
        <v>0</v>
      </c>
      <c r="AN27" s="56" t="n">
        <f aca="false">MIN(AD27,MAX(0,N(Debts!$E$9)))</f>
        <v>0</v>
      </c>
      <c r="AO27" s="56" t="n">
        <f aca="false">MIN(AE27,MAX(0,N(Debts!$E$10)))</f>
        <v>210</v>
      </c>
      <c r="AP27" s="56" t="n">
        <f aca="false">MIN(AF27,MAX(0,N(Debts!$E$11)))</f>
        <v>0</v>
      </c>
      <c r="AQ27" s="56" t="n">
        <f aca="false">MIN(AG27,MAX(0,N(Debts!$E$12)))</f>
        <v>0</v>
      </c>
      <c r="AR27" s="56" t="n">
        <f aca="false">MIN(AH27,MAX(0,N(Debts!$E$13)))</f>
        <v>0</v>
      </c>
      <c r="AS27" s="56" t="n">
        <f aca="false">MIN(AI27,MAX(0,N(Debts!$E$14)))</f>
        <v>0</v>
      </c>
    </row>
    <row r="28" customFormat="false" ht="15" hidden="false" customHeight="false" outlineLevel="0" collapsed="false">
      <c r="A28" s="53" t="n">
        <v>24</v>
      </c>
      <c r="B28" s="54" t="n">
        <f aca="false">EDATE('Start Here'!$B$8,23)</f>
        <v>47027</v>
      </c>
      <c r="C28" s="42" t="n">
        <f aca="false">SUM(F28:O28)</f>
        <v>1220</v>
      </c>
      <c r="D28" s="42" t="n">
        <f aca="false">ROUND(SUM($Z28:$AI28)-SUM(P27:Y27),2)</f>
        <v>110.51</v>
      </c>
      <c r="E28" s="55" t="n">
        <f aca="false">SUM(P28:Y28)</f>
        <v>20375.22</v>
      </c>
      <c r="F28" s="42" t="n">
        <f aca="false">AJ28+MIN(Z28-AJ28,MAX(0,'Start Here'!$B$10-SUM($AJ28:$AS28)-SUMPRODUCT(($Z$3:$AI$3&lt;Z$3)*($Z28:$AI28-$AJ28:$AS28))))</f>
        <v>0</v>
      </c>
      <c r="G28" s="42" t="n">
        <f aca="false">AK28+MIN(AA28-AK28,MAX(0,'Start Here'!$B$10-SUM($AJ28:$AS28)-SUMPRODUCT(($Z$3:$AI$3&lt;AA$3)*($Z28:$AI28-$AJ28:$AS28))))</f>
        <v>0</v>
      </c>
      <c r="H28" s="42" t="n">
        <f aca="false">AL28+MIN(AB28-AL28,MAX(0,'Start Here'!$B$10-SUM($AJ28:$AS28)-SUMPRODUCT(($Z$3:$AI$3&lt;AB$3)*($Z28:$AI28-$AJ28:$AS28))))</f>
        <v>1010</v>
      </c>
      <c r="I28" s="42" t="n">
        <f aca="false">AM28+MIN(AC28-AM28,MAX(0,'Start Here'!$B$10-SUM($AJ28:$AS28)-SUMPRODUCT(($Z$3:$AI$3&lt;AC$3)*($Z28:$AI28-$AJ28:$AS28))))</f>
        <v>0</v>
      </c>
      <c r="J28" s="42" t="n">
        <f aca="false">AN28+MIN(AD28-AN28,MAX(0,'Start Here'!$B$10-SUM($AJ28:$AS28)-SUMPRODUCT(($Z$3:$AI$3&lt;AD$3)*($Z28:$AI28-$AJ28:$AS28))))</f>
        <v>0</v>
      </c>
      <c r="K28" s="42" t="n">
        <f aca="false">AO28+MIN(AE28-AO28,MAX(0,'Start Here'!$B$10-SUM($AJ28:$AS28)-SUMPRODUCT(($Z$3:$AI$3&lt;AE$3)*($Z28:$AI28-$AJ28:$AS28))))</f>
        <v>210</v>
      </c>
      <c r="L28" s="42" t="n">
        <f aca="false">AP28+MIN(AF28-AP28,MAX(0,'Start Here'!$B$10-SUM($AJ28:$AS28)-SUMPRODUCT(($Z$3:$AI$3&lt;AF$3)*($Z28:$AI28-$AJ28:$AS28))))</f>
        <v>0</v>
      </c>
      <c r="M28" s="42" t="n">
        <f aca="false">AQ28+MIN(AG28-AQ28,MAX(0,'Start Here'!$B$10-SUM($AJ28:$AS28)-SUMPRODUCT(($Z$3:$AI$3&lt;AG$3)*($Z28:$AI28-$AJ28:$AS28))))</f>
        <v>0</v>
      </c>
      <c r="N28" s="42" t="n">
        <f aca="false">AR28+MIN(AH28-AR28,MAX(0,'Start Here'!$B$10-SUM($AJ28:$AS28)-SUMPRODUCT(($Z$3:$AI$3&lt;AH$3)*($Z28:$AI28-$AJ28:$AS28))))</f>
        <v>0</v>
      </c>
      <c r="O28" s="42" t="n">
        <f aca="false">AS28+MIN(AI28-AS28,MAX(0,'Start Here'!$B$10-SUM($AJ28:$AS28)-SUMPRODUCT(($Z$3:$AI$3&lt;AI$3)*($Z28:$AI28-$AJ28:$AS28))))</f>
        <v>0</v>
      </c>
      <c r="P28" s="42" t="n">
        <f aca="false">ROUND(Z28-F28,2)</f>
        <v>0</v>
      </c>
      <c r="Q28" s="42" t="n">
        <f aca="false">ROUND(AA28-G28,2)</f>
        <v>0</v>
      </c>
      <c r="R28" s="42" t="n">
        <f aca="false">ROUND(AB28-H28,2)</f>
        <v>5044.06</v>
      </c>
      <c r="S28" s="42" t="n">
        <f aca="false">ROUND(AC28-I28,2)</f>
        <v>0</v>
      </c>
      <c r="T28" s="42" t="n">
        <f aca="false">ROUND(AD28-J28,2)</f>
        <v>0</v>
      </c>
      <c r="U28" s="42" t="n">
        <f aca="false">ROUND(AE28-K28,2)</f>
        <v>15331.16</v>
      </c>
      <c r="V28" s="42" t="n">
        <f aca="false">ROUND(AF28-L28,2)</f>
        <v>0</v>
      </c>
      <c r="W28" s="42" t="n">
        <f aca="false">ROUND(AG28-M28,2)</f>
        <v>0</v>
      </c>
      <c r="X28" s="42" t="n">
        <f aca="false">ROUND(AH28-N28,2)</f>
        <v>0</v>
      </c>
      <c r="Y28" s="42" t="n">
        <f aca="false">ROUND(AI28-O28,2)</f>
        <v>0</v>
      </c>
      <c r="Z28" s="56" t="n">
        <f aca="false">ROUND(P27*(1+N(Debts!$D$5)/12),2)</f>
        <v>0</v>
      </c>
      <c r="AA28" s="56" t="n">
        <f aca="false">ROUND(Q27*(1+N(Debts!$D$6)/12),2)</f>
        <v>0</v>
      </c>
      <c r="AB28" s="56" t="n">
        <f aca="false">ROUND(R27*(1+N(Debts!$D$7)/12),2)</f>
        <v>6054.06</v>
      </c>
      <c r="AC28" s="56" t="n">
        <f aca="false">ROUND(S27*(1+N(Debts!$D$8)/12),2)</f>
        <v>0</v>
      </c>
      <c r="AD28" s="56" t="n">
        <f aca="false">ROUND(T27*(1+N(Debts!$D$9)/12),2)</f>
        <v>0</v>
      </c>
      <c r="AE28" s="56" t="n">
        <f aca="false">ROUND(U27*(1+N(Debts!$D$10)/12),2)</f>
        <v>15541.16</v>
      </c>
      <c r="AF28" s="56" t="n">
        <f aca="false">ROUND(V27*(1+N(Debts!$D$11)/12),2)</f>
        <v>0</v>
      </c>
      <c r="AG28" s="56" t="n">
        <f aca="false">ROUND(W27*(1+N(Debts!$D$12)/12),2)</f>
        <v>0</v>
      </c>
      <c r="AH28" s="56" t="n">
        <f aca="false">ROUND(X27*(1+N(Debts!$D$13)/12),2)</f>
        <v>0</v>
      </c>
      <c r="AI28" s="56" t="n">
        <f aca="false">ROUND(Y27*(1+N(Debts!$D$14)/12),2)</f>
        <v>0</v>
      </c>
      <c r="AJ28" s="56" t="n">
        <f aca="false">MIN(Z28,MAX(0,N(Debts!$E$5)))</f>
        <v>0</v>
      </c>
      <c r="AK28" s="56" t="n">
        <f aca="false">MIN(AA28,MAX(0,N(Debts!$E$6)))</f>
        <v>0</v>
      </c>
      <c r="AL28" s="56" t="n">
        <f aca="false">MIN(AB28,MAX(0,N(Debts!$E$7)))</f>
        <v>310</v>
      </c>
      <c r="AM28" s="56" t="n">
        <f aca="false">MIN(AC28,MAX(0,N(Debts!$E$8)))</f>
        <v>0</v>
      </c>
      <c r="AN28" s="56" t="n">
        <f aca="false">MIN(AD28,MAX(0,N(Debts!$E$9)))</f>
        <v>0</v>
      </c>
      <c r="AO28" s="56" t="n">
        <f aca="false">MIN(AE28,MAX(0,N(Debts!$E$10)))</f>
        <v>210</v>
      </c>
      <c r="AP28" s="56" t="n">
        <f aca="false">MIN(AF28,MAX(0,N(Debts!$E$11)))</f>
        <v>0</v>
      </c>
      <c r="AQ28" s="56" t="n">
        <f aca="false">MIN(AG28,MAX(0,N(Debts!$E$12)))</f>
        <v>0</v>
      </c>
      <c r="AR28" s="56" t="n">
        <f aca="false">MIN(AH28,MAX(0,N(Debts!$E$13)))</f>
        <v>0</v>
      </c>
      <c r="AS28" s="56" t="n">
        <f aca="false">MIN(AI28,MAX(0,N(Debts!$E$14)))</f>
        <v>0</v>
      </c>
    </row>
    <row r="29" customFormat="false" ht="15" hidden="false" customHeight="false" outlineLevel="0" collapsed="false">
      <c r="A29" s="53" t="n">
        <v>25</v>
      </c>
      <c r="B29" s="54" t="n">
        <f aca="false">EDATE('Start Here'!$B$8,24)</f>
        <v>47058</v>
      </c>
      <c r="C29" s="42" t="n">
        <f aca="false">SUM(F29:O29)</f>
        <v>1220</v>
      </c>
      <c r="D29" s="42" t="n">
        <f aca="false">ROUND(SUM($Z29:$AI29)-SUM(P28:Y28),2)</f>
        <v>103.48</v>
      </c>
      <c r="E29" s="55" t="n">
        <f aca="false">SUM(P29:Y29)</f>
        <v>19258.7</v>
      </c>
      <c r="F29" s="42" t="n">
        <f aca="false">AJ29+MIN(Z29-AJ29,MAX(0,'Start Here'!$B$10-SUM($AJ29:$AS29)-SUMPRODUCT(($Z$3:$AI$3&lt;Z$3)*($Z29:$AI29-$AJ29:$AS29))))</f>
        <v>0</v>
      </c>
      <c r="G29" s="42" t="n">
        <f aca="false">AK29+MIN(AA29-AK29,MAX(0,'Start Here'!$B$10-SUM($AJ29:$AS29)-SUMPRODUCT(($Z$3:$AI$3&lt;AA$3)*($Z29:$AI29-$AJ29:$AS29))))</f>
        <v>0</v>
      </c>
      <c r="H29" s="42" t="n">
        <f aca="false">AL29+MIN(AB29-AL29,MAX(0,'Start Here'!$B$10-SUM($AJ29:$AS29)-SUMPRODUCT(($Z$3:$AI$3&lt;AB$3)*($Z29:$AI29-$AJ29:$AS29))))</f>
        <v>1010</v>
      </c>
      <c r="I29" s="42" t="n">
        <f aca="false">AM29+MIN(AC29-AM29,MAX(0,'Start Here'!$B$10-SUM($AJ29:$AS29)-SUMPRODUCT(($Z$3:$AI$3&lt;AC$3)*($Z29:$AI29-$AJ29:$AS29))))</f>
        <v>0</v>
      </c>
      <c r="J29" s="42" t="n">
        <f aca="false">AN29+MIN(AD29-AN29,MAX(0,'Start Here'!$B$10-SUM($AJ29:$AS29)-SUMPRODUCT(($Z$3:$AI$3&lt;AD$3)*($Z29:$AI29-$AJ29:$AS29))))</f>
        <v>0</v>
      </c>
      <c r="K29" s="42" t="n">
        <f aca="false">AO29+MIN(AE29-AO29,MAX(0,'Start Here'!$B$10-SUM($AJ29:$AS29)-SUMPRODUCT(($Z$3:$AI$3&lt;AE$3)*($Z29:$AI29-$AJ29:$AS29))))</f>
        <v>210</v>
      </c>
      <c r="L29" s="42" t="n">
        <f aca="false">AP29+MIN(AF29-AP29,MAX(0,'Start Here'!$B$10-SUM($AJ29:$AS29)-SUMPRODUCT(($Z$3:$AI$3&lt;AF$3)*($Z29:$AI29-$AJ29:$AS29))))</f>
        <v>0</v>
      </c>
      <c r="M29" s="42" t="n">
        <f aca="false">AQ29+MIN(AG29-AQ29,MAX(0,'Start Here'!$B$10-SUM($AJ29:$AS29)-SUMPRODUCT(($Z$3:$AI$3&lt;AG$3)*($Z29:$AI29-$AJ29:$AS29))))</f>
        <v>0</v>
      </c>
      <c r="N29" s="42" t="n">
        <f aca="false">AR29+MIN(AH29-AR29,MAX(0,'Start Here'!$B$10-SUM($AJ29:$AS29)-SUMPRODUCT(($Z$3:$AI$3&lt;AH$3)*($Z29:$AI29-$AJ29:$AS29))))</f>
        <v>0</v>
      </c>
      <c r="O29" s="42" t="n">
        <f aca="false">AS29+MIN(AI29-AS29,MAX(0,'Start Here'!$B$10-SUM($AJ29:$AS29)-SUMPRODUCT(($Z$3:$AI$3&lt;AI$3)*($Z29:$AI29-$AJ29:$AS29))))</f>
        <v>0</v>
      </c>
      <c r="P29" s="42" t="n">
        <f aca="false">ROUND(Z29-F29,2)</f>
        <v>0</v>
      </c>
      <c r="Q29" s="42" t="n">
        <f aca="false">ROUND(AA29-G29,2)</f>
        <v>0</v>
      </c>
      <c r="R29" s="42" t="n">
        <f aca="false">ROUND(AB29-H29,2)</f>
        <v>4067.27</v>
      </c>
      <c r="S29" s="42" t="n">
        <f aca="false">ROUND(AC29-I29,2)</f>
        <v>0</v>
      </c>
      <c r="T29" s="42" t="n">
        <f aca="false">ROUND(AD29-J29,2)</f>
        <v>0</v>
      </c>
      <c r="U29" s="42" t="n">
        <f aca="false">ROUND(AE29-K29,2)</f>
        <v>15191.43</v>
      </c>
      <c r="V29" s="42" t="n">
        <f aca="false">ROUND(AF29-L29,2)</f>
        <v>0</v>
      </c>
      <c r="W29" s="42" t="n">
        <f aca="false">ROUND(AG29-M29,2)</f>
        <v>0</v>
      </c>
      <c r="X29" s="42" t="n">
        <f aca="false">ROUND(AH29-N29,2)</f>
        <v>0</v>
      </c>
      <c r="Y29" s="42" t="n">
        <f aca="false">ROUND(AI29-O29,2)</f>
        <v>0</v>
      </c>
      <c r="Z29" s="56" t="n">
        <f aca="false">ROUND(P28*(1+N(Debts!$D$5)/12),2)</f>
        <v>0</v>
      </c>
      <c r="AA29" s="56" t="n">
        <f aca="false">ROUND(Q28*(1+N(Debts!$D$6)/12),2)</f>
        <v>0</v>
      </c>
      <c r="AB29" s="56" t="n">
        <f aca="false">ROUND(R28*(1+N(Debts!$D$7)/12),2)</f>
        <v>5077.27</v>
      </c>
      <c r="AC29" s="56" t="n">
        <f aca="false">ROUND(S28*(1+N(Debts!$D$8)/12),2)</f>
        <v>0</v>
      </c>
      <c r="AD29" s="56" t="n">
        <f aca="false">ROUND(T28*(1+N(Debts!$D$9)/12),2)</f>
        <v>0</v>
      </c>
      <c r="AE29" s="56" t="n">
        <f aca="false">ROUND(U28*(1+N(Debts!$D$10)/12),2)</f>
        <v>15401.43</v>
      </c>
      <c r="AF29" s="56" t="n">
        <f aca="false">ROUND(V28*(1+N(Debts!$D$11)/12),2)</f>
        <v>0</v>
      </c>
      <c r="AG29" s="56" t="n">
        <f aca="false">ROUND(W28*(1+N(Debts!$D$12)/12),2)</f>
        <v>0</v>
      </c>
      <c r="AH29" s="56" t="n">
        <f aca="false">ROUND(X28*(1+N(Debts!$D$13)/12),2)</f>
        <v>0</v>
      </c>
      <c r="AI29" s="56" t="n">
        <f aca="false">ROUND(Y28*(1+N(Debts!$D$14)/12),2)</f>
        <v>0</v>
      </c>
      <c r="AJ29" s="56" t="n">
        <f aca="false">MIN(Z29,MAX(0,N(Debts!$E$5)))</f>
        <v>0</v>
      </c>
      <c r="AK29" s="56" t="n">
        <f aca="false">MIN(AA29,MAX(0,N(Debts!$E$6)))</f>
        <v>0</v>
      </c>
      <c r="AL29" s="56" t="n">
        <f aca="false">MIN(AB29,MAX(0,N(Debts!$E$7)))</f>
        <v>310</v>
      </c>
      <c r="AM29" s="56" t="n">
        <f aca="false">MIN(AC29,MAX(0,N(Debts!$E$8)))</f>
        <v>0</v>
      </c>
      <c r="AN29" s="56" t="n">
        <f aca="false">MIN(AD29,MAX(0,N(Debts!$E$9)))</f>
        <v>0</v>
      </c>
      <c r="AO29" s="56" t="n">
        <f aca="false">MIN(AE29,MAX(0,N(Debts!$E$10)))</f>
        <v>210</v>
      </c>
      <c r="AP29" s="56" t="n">
        <f aca="false">MIN(AF29,MAX(0,N(Debts!$E$11)))</f>
        <v>0</v>
      </c>
      <c r="AQ29" s="56" t="n">
        <f aca="false">MIN(AG29,MAX(0,N(Debts!$E$12)))</f>
        <v>0</v>
      </c>
      <c r="AR29" s="56" t="n">
        <f aca="false">MIN(AH29,MAX(0,N(Debts!$E$13)))</f>
        <v>0</v>
      </c>
      <c r="AS29" s="56" t="n">
        <f aca="false">MIN(AI29,MAX(0,N(Debts!$E$14)))</f>
        <v>0</v>
      </c>
    </row>
    <row r="30" customFormat="false" ht="15" hidden="false" customHeight="false" outlineLevel="0" collapsed="false">
      <c r="A30" s="53" t="n">
        <v>26</v>
      </c>
      <c r="B30" s="54" t="n">
        <f aca="false">EDATE('Start Here'!$B$8,25)</f>
        <v>47088</v>
      </c>
      <c r="C30" s="42" t="n">
        <f aca="false">SUM(F30:O30)</f>
        <v>1220</v>
      </c>
      <c r="D30" s="42" t="n">
        <f aca="false">ROUND(SUM($Z30:$AI30)-SUM(P29:Y29),2)</f>
        <v>96.41</v>
      </c>
      <c r="E30" s="55" t="n">
        <f aca="false">SUM(P30:Y30)</f>
        <v>18135.11</v>
      </c>
      <c r="F30" s="42" t="n">
        <f aca="false">AJ30+MIN(Z30-AJ30,MAX(0,'Start Here'!$B$10-SUM($AJ30:$AS30)-SUMPRODUCT(($Z$3:$AI$3&lt;Z$3)*($Z30:$AI30-$AJ30:$AS30))))</f>
        <v>0</v>
      </c>
      <c r="G30" s="42" t="n">
        <f aca="false">AK30+MIN(AA30-AK30,MAX(0,'Start Here'!$B$10-SUM($AJ30:$AS30)-SUMPRODUCT(($Z$3:$AI$3&lt;AA$3)*($Z30:$AI30-$AJ30:$AS30))))</f>
        <v>0</v>
      </c>
      <c r="H30" s="42" t="n">
        <f aca="false">AL30+MIN(AB30-AL30,MAX(0,'Start Here'!$B$10-SUM($AJ30:$AS30)-SUMPRODUCT(($Z$3:$AI$3&lt;AB$3)*($Z30:$AI30-$AJ30:$AS30))))</f>
        <v>1010</v>
      </c>
      <c r="I30" s="42" t="n">
        <f aca="false">AM30+MIN(AC30-AM30,MAX(0,'Start Here'!$B$10-SUM($AJ30:$AS30)-SUMPRODUCT(($Z$3:$AI$3&lt;AC$3)*($Z30:$AI30-$AJ30:$AS30))))</f>
        <v>0</v>
      </c>
      <c r="J30" s="42" t="n">
        <f aca="false">AN30+MIN(AD30-AN30,MAX(0,'Start Here'!$B$10-SUM($AJ30:$AS30)-SUMPRODUCT(($Z$3:$AI$3&lt;AD$3)*($Z30:$AI30-$AJ30:$AS30))))</f>
        <v>0</v>
      </c>
      <c r="K30" s="42" t="n">
        <f aca="false">AO30+MIN(AE30-AO30,MAX(0,'Start Here'!$B$10-SUM($AJ30:$AS30)-SUMPRODUCT(($Z$3:$AI$3&lt;AE$3)*($Z30:$AI30-$AJ30:$AS30))))</f>
        <v>210</v>
      </c>
      <c r="L30" s="42" t="n">
        <f aca="false">AP30+MIN(AF30-AP30,MAX(0,'Start Here'!$B$10-SUM($AJ30:$AS30)-SUMPRODUCT(($Z$3:$AI$3&lt;AF$3)*($Z30:$AI30-$AJ30:$AS30))))</f>
        <v>0</v>
      </c>
      <c r="M30" s="42" t="n">
        <f aca="false">AQ30+MIN(AG30-AQ30,MAX(0,'Start Here'!$B$10-SUM($AJ30:$AS30)-SUMPRODUCT(($Z$3:$AI$3&lt;AG$3)*($Z30:$AI30-$AJ30:$AS30))))</f>
        <v>0</v>
      </c>
      <c r="N30" s="42" t="n">
        <f aca="false">AR30+MIN(AH30-AR30,MAX(0,'Start Here'!$B$10-SUM($AJ30:$AS30)-SUMPRODUCT(($Z$3:$AI$3&lt;AH$3)*($Z30:$AI30-$AJ30:$AS30))))</f>
        <v>0</v>
      </c>
      <c r="O30" s="42" t="n">
        <f aca="false">AS30+MIN(AI30-AS30,MAX(0,'Start Here'!$B$10-SUM($AJ30:$AS30)-SUMPRODUCT(($Z$3:$AI$3&lt;AI$3)*($Z30:$AI30-$AJ30:$AS30))))</f>
        <v>0</v>
      </c>
      <c r="P30" s="42" t="n">
        <f aca="false">ROUND(Z30-F30,2)</f>
        <v>0</v>
      </c>
      <c r="Q30" s="42" t="n">
        <f aca="false">ROUND(AA30-G30,2)</f>
        <v>0</v>
      </c>
      <c r="R30" s="42" t="n">
        <f aca="false">ROUND(AB30-H30,2)</f>
        <v>3084.05</v>
      </c>
      <c r="S30" s="42" t="n">
        <f aca="false">ROUND(AC30-I30,2)</f>
        <v>0</v>
      </c>
      <c r="T30" s="42" t="n">
        <f aca="false">ROUND(AD30-J30,2)</f>
        <v>0</v>
      </c>
      <c r="U30" s="42" t="n">
        <f aca="false">ROUND(AE30-K30,2)</f>
        <v>15051.06</v>
      </c>
      <c r="V30" s="42" t="n">
        <f aca="false">ROUND(AF30-L30,2)</f>
        <v>0</v>
      </c>
      <c r="W30" s="42" t="n">
        <f aca="false">ROUND(AG30-M30,2)</f>
        <v>0</v>
      </c>
      <c r="X30" s="42" t="n">
        <f aca="false">ROUND(AH30-N30,2)</f>
        <v>0</v>
      </c>
      <c r="Y30" s="42" t="n">
        <f aca="false">ROUND(AI30-O30,2)</f>
        <v>0</v>
      </c>
      <c r="Z30" s="56" t="n">
        <f aca="false">ROUND(P29*(1+N(Debts!$D$5)/12),2)</f>
        <v>0</v>
      </c>
      <c r="AA30" s="56" t="n">
        <f aca="false">ROUND(Q29*(1+N(Debts!$D$6)/12),2)</f>
        <v>0</v>
      </c>
      <c r="AB30" s="56" t="n">
        <f aca="false">ROUND(R29*(1+N(Debts!$D$7)/12),2)</f>
        <v>4094.05</v>
      </c>
      <c r="AC30" s="56" t="n">
        <f aca="false">ROUND(S29*(1+N(Debts!$D$8)/12),2)</f>
        <v>0</v>
      </c>
      <c r="AD30" s="56" t="n">
        <f aca="false">ROUND(T29*(1+N(Debts!$D$9)/12),2)</f>
        <v>0</v>
      </c>
      <c r="AE30" s="56" t="n">
        <f aca="false">ROUND(U29*(1+N(Debts!$D$10)/12),2)</f>
        <v>15261.06</v>
      </c>
      <c r="AF30" s="56" t="n">
        <f aca="false">ROUND(V29*(1+N(Debts!$D$11)/12),2)</f>
        <v>0</v>
      </c>
      <c r="AG30" s="56" t="n">
        <f aca="false">ROUND(W29*(1+N(Debts!$D$12)/12),2)</f>
        <v>0</v>
      </c>
      <c r="AH30" s="56" t="n">
        <f aca="false">ROUND(X29*(1+N(Debts!$D$13)/12),2)</f>
        <v>0</v>
      </c>
      <c r="AI30" s="56" t="n">
        <f aca="false">ROUND(Y29*(1+N(Debts!$D$14)/12),2)</f>
        <v>0</v>
      </c>
      <c r="AJ30" s="56" t="n">
        <f aca="false">MIN(Z30,MAX(0,N(Debts!$E$5)))</f>
        <v>0</v>
      </c>
      <c r="AK30" s="56" t="n">
        <f aca="false">MIN(AA30,MAX(0,N(Debts!$E$6)))</f>
        <v>0</v>
      </c>
      <c r="AL30" s="56" t="n">
        <f aca="false">MIN(AB30,MAX(0,N(Debts!$E$7)))</f>
        <v>310</v>
      </c>
      <c r="AM30" s="56" t="n">
        <f aca="false">MIN(AC30,MAX(0,N(Debts!$E$8)))</f>
        <v>0</v>
      </c>
      <c r="AN30" s="56" t="n">
        <f aca="false">MIN(AD30,MAX(0,N(Debts!$E$9)))</f>
        <v>0</v>
      </c>
      <c r="AO30" s="56" t="n">
        <f aca="false">MIN(AE30,MAX(0,N(Debts!$E$10)))</f>
        <v>210</v>
      </c>
      <c r="AP30" s="56" t="n">
        <f aca="false">MIN(AF30,MAX(0,N(Debts!$E$11)))</f>
        <v>0</v>
      </c>
      <c r="AQ30" s="56" t="n">
        <f aca="false">MIN(AG30,MAX(0,N(Debts!$E$12)))</f>
        <v>0</v>
      </c>
      <c r="AR30" s="56" t="n">
        <f aca="false">MIN(AH30,MAX(0,N(Debts!$E$13)))</f>
        <v>0</v>
      </c>
      <c r="AS30" s="56" t="n">
        <f aca="false">MIN(AI30,MAX(0,N(Debts!$E$14)))</f>
        <v>0</v>
      </c>
    </row>
    <row r="31" customFormat="false" ht="15" hidden="false" customHeight="false" outlineLevel="0" collapsed="false">
      <c r="A31" s="53" t="n">
        <v>27</v>
      </c>
      <c r="B31" s="54" t="n">
        <f aca="false">EDATE('Start Here'!$B$8,26)</f>
        <v>47119</v>
      </c>
      <c r="C31" s="42" t="n">
        <f aca="false">SUM(F31:O31)</f>
        <v>1220</v>
      </c>
      <c r="D31" s="42" t="n">
        <f aca="false">ROUND(SUM($Z31:$AI31)-SUM(P30:Y30),2)</f>
        <v>89.28</v>
      </c>
      <c r="E31" s="55" t="n">
        <f aca="false">SUM(P31:Y31)</f>
        <v>17004.39</v>
      </c>
      <c r="F31" s="42" t="n">
        <f aca="false">AJ31+MIN(Z31-AJ31,MAX(0,'Start Here'!$B$10-SUM($AJ31:$AS31)-SUMPRODUCT(($Z$3:$AI$3&lt;Z$3)*($Z31:$AI31-$AJ31:$AS31))))</f>
        <v>0</v>
      </c>
      <c r="G31" s="42" t="n">
        <f aca="false">AK31+MIN(AA31-AK31,MAX(0,'Start Here'!$B$10-SUM($AJ31:$AS31)-SUMPRODUCT(($Z$3:$AI$3&lt;AA$3)*($Z31:$AI31-$AJ31:$AS31))))</f>
        <v>0</v>
      </c>
      <c r="H31" s="42" t="n">
        <f aca="false">AL31+MIN(AB31-AL31,MAX(0,'Start Here'!$B$10-SUM($AJ31:$AS31)-SUMPRODUCT(($Z$3:$AI$3&lt;AB$3)*($Z31:$AI31-$AJ31:$AS31))))</f>
        <v>1010</v>
      </c>
      <c r="I31" s="42" t="n">
        <f aca="false">AM31+MIN(AC31-AM31,MAX(0,'Start Here'!$B$10-SUM($AJ31:$AS31)-SUMPRODUCT(($Z$3:$AI$3&lt;AC$3)*($Z31:$AI31-$AJ31:$AS31))))</f>
        <v>0</v>
      </c>
      <c r="J31" s="42" t="n">
        <f aca="false">AN31+MIN(AD31-AN31,MAX(0,'Start Here'!$B$10-SUM($AJ31:$AS31)-SUMPRODUCT(($Z$3:$AI$3&lt;AD$3)*($Z31:$AI31-$AJ31:$AS31))))</f>
        <v>0</v>
      </c>
      <c r="K31" s="42" t="n">
        <f aca="false">AO31+MIN(AE31-AO31,MAX(0,'Start Here'!$B$10-SUM($AJ31:$AS31)-SUMPRODUCT(($Z$3:$AI$3&lt;AE$3)*($Z31:$AI31-$AJ31:$AS31))))</f>
        <v>210</v>
      </c>
      <c r="L31" s="42" t="n">
        <f aca="false">AP31+MIN(AF31-AP31,MAX(0,'Start Here'!$B$10-SUM($AJ31:$AS31)-SUMPRODUCT(($Z$3:$AI$3&lt;AF$3)*($Z31:$AI31-$AJ31:$AS31))))</f>
        <v>0</v>
      </c>
      <c r="M31" s="42" t="n">
        <f aca="false">AQ31+MIN(AG31-AQ31,MAX(0,'Start Here'!$B$10-SUM($AJ31:$AS31)-SUMPRODUCT(($Z$3:$AI$3&lt;AG$3)*($Z31:$AI31-$AJ31:$AS31))))</f>
        <v>0</v>
      </c>
      <c r="N31" s="42" t="n">
        <f aca="false">AR31+MIN(AH31-AR31,MAX(0,'Start Here'!$B$10-SUM($AJ31:$AS31)-SUMPRODUCT(($Z$3:$AI$3&lt;AH$3)*($Z31:$AI31-$AJ31:$AS31))))</f>
        <v>0</v>
      </c>
      <c r="O31" s="42" t="n">
        <f aca="false">AS31+MIN(AI31-AS31,MAX(0,'Start Here'!$B$10-SUM($AJ31:$AS31)-SUMPRODUCT(($Z$3:$AI$3&lt;AI$3)*($Z31:$AI31-$AJ31:$AS31))))</f>
        <v>0</v>
      </c>
      <c r="P31" s="42" t="n">
        <f aca="false">ROUND(Z31-F31,2)</f>
        <v>0</v>
      </c>
      <c r="Q31" s="42" t="n">
        <f aca="false">ROUND(AA31-G31,2)</f>
        <v>0</v>
      </c>
      <c r="R31" s="42" t="n">
        <f aca="false">ROUND(AB31-H31,2)</f>
        <v>2094.35</v>
      </c>
      <c r="S31" s="42" t="n">
        <f aca="false">ROUND(AC31-I31,2)</f>
        <v>0</v>
      </c>
      <c r="T31" s="42" t="n">
        <f aca="false">ROUND(AD31-J31,2)</f>
        <v>0</v>
      </c>
      <c r="U31" s="42" t="n">
        <f aca="false">ROUND(AE31-K31,2)</f>
        <v>14910.04</v>
      </c>
      <c r="V31" s="42" t="n">
        <f aca="false">ROUND(AF31-L31,2)</f>
        <v>0</v>
      </c>
      <c r="W31" s="42" t="n">
        <f aca="false">ROUND(AG31-M31,2)</f>
        <v>0</v>
      </c>
      <c r="X31" s="42" t="n">
        <f aca="false">ROUND(AH31-N31,2)</f>
        <v>0</v>
      </c>
      <c r="Y31" s="42" t="n">
        <f aca="false">ROUND(AI31-O31,2)</f>
        <v>0</v>
      </c>
      <c r="Z31" s="56" t="n">
        <f aca="false">ROUND(P30*(1+N(Debts!$D$5)/12),2)</f>
        <v>0</v>
      </c>
      <c r="AA31" s="56" t="n">
        <f aca="false">ROUND(Q30*(1+N(Debts!$D$6)/12),2)</f>
        <v>0</v>
      </c>
      <c r="AB31" s="56" t="n">
        <f aca="false">ROUND(R30*(1+N(Debts!$D$7)/12),2)</f>
        <v>3104.35</v>
      </c>
      <c r="AC31" s="56" t="n">
        <f aca="false">ROUND(S30*(1+N(Debts!$D$8)/12),2)</f>
        <v>0</v>
      </c>
      <c r="AD31" s="56" t="n">
        <f aca="false">ROUND(T30*(1+N(Debts!$D$9)/12),2)</f>
        <v>0</v>
      </c>
      <c r="AE31" s="56" t="n">
        <f aca="false">ROUND(U30*(1+N(Debts!$D$10)/12),2)</f>
        <v>15120.04</v>
      </c>
      <c r="AF31" s="56" t="n">
        <f aca="false">ROUND(V30*(1+N(Debts!$D$11)/12),2)</f>
        <v>0</v>
      </c>
      <c r="AG31" s="56" t="n">
        <f aca="false">ROUND(W30*(1+N(Debts!$D$12)/12),2)</f>
        <v>0</v>
      </c>
      <c r="AH31" s="56" t="n">
        <f aca="false">ROUND(X30*(1+N(Debts!$D$13)/12),2)</f>
        <v>0</v>
      </c>
      <c r="AI31" s="56" t="n">
        <f aca="false">ROUND(Y30*(1+N(Debts!$D$14)/12),2)</f>
        <v>0</v>
      </c>
      <c r="AJ31" s="56" t="n">
        <f aca="false">MIN(Z31,MAX(0,N(Debts!$E$5)))</f>
        <v>0</v>
      </c>
      <c r="AK31" s="56" t="n">
        <f aca="false">MIN(AA31,MAX(0,N(Debts!$E$6)))</f>
        <v>0</v>
      </c>
      <c r="AL31" s="56" t="n">
        <f aca="false">MIN(AB31,MAX(0,N(Debts!$E$7)))</f>
        <v>310</v>
      </c>
      <c r="AM31" s="56" t="n">
        <f aca="false">MIN(AC31,MAX(0,N(Debts!$E$8)))</f>
        <v>0</v>
      </c>
      <c r="AN31" s="56" t="n">
        <f aca="false">MIN(AD31,MAX(0,N(Debts!$E$9)))</f>
        <v>0</v>
      </c>
      <c r="AO31" s="56" t="n">
        <f aca="false">MIN(AE31,MAX(0,N(Debts!$E$10)))</f>
        <v>210</v>
      </c>
      <c r="AP31" s="56" t="n">
        <f aca="false">MIN(AF31,MAX(0,N(Debts!$E$11)))</f>
        <v>0</v>
      </c>
      <c r="AQ31" s="56" t="n">
        <f aca="false">MIN(AG31,MAX(0,N(Debts!$E$12)))</f>
        <v>0</v>
      </c>
      <c r="AR31" s="56" t="n">
        <f aca="false">MIN(AH31,MAX(0,N(Debts!$E$13)))</f>
        <v>0</v>
      </c>
      <c r="AS31" s="56" t="n">
        <f aca="false">MIN(AI31,MAX(0,N(Debts!$E$14)))</f>
        <v>0</v>
      </c>
    </row>
    <row r="32" customFormat="false" ht="15" hidden="false" customHeight="false" outlineLevel="0" collapsed="false">
      <c r="A32" s="53" t="n">
        <v>28</v>
      </c>
      <c r="B32" s="54" t="n">
        <f aca="false">EDATE('Start Here'!$B$8,27)</f>
        <v>47150</v>
      </c>
      <c r="C32" s="42" t="n">
        <f aca="false">SUM(F32:O32)</f>
        <v>1220</v>
      </c>
      <c r="D32" s="42" t="n">
        <f aca="false">ROUND(SUM($Z32:$AI32)-SUM(P31:Y31),2)</f>
        <v>82.13</v>
      </c>
      <c r="E32" s="55" t="n">
        <f aca="false">SUM(P32:Y32)</f>
        <v>15866.52</v>
      </c>
      <c r="F32" s="42" t="n">
        <f aca="false">AJ32+MIN(Z32-AJ32,MAX(0,'Start Here'!$B$10-SUM($AJ32:$AS32)-SUMPRODUCT(($Z$3:$AI$3&lt;Z$3)*($Z32:$AI32-$AJ32:$AS32))))</f>
        <v>0</v>
      </c>
      <c r="G32" s="42" t="n">
        <f aca="false">AK32+MIN(AA32-AK32,MAX(0,'Start Here'!$B$10-SUM($AJ32:$AS32)-SUMPRODUCT(($Z$3:$AI$3&lt;AA$3)*($Z32:$AI32-$AJ32:$AS32))))</f>
        <v>0</v>
      </c>
      <c r="H32" s="42" t="n">
        <f aca="false">AL32+MIN(AB32-AL32,MAX(0,'Start Here'!$B$10-SUM($AJ32:$AS32)-SUMPRODUCT(($Z$3:$AI$3&lt;AB$3)*($Z32:$AI32-$AJ32:$AS32))))</f>
        <v>1010</v>
      </c>
      <c r="I32" s="42" t="n">
        <f aca="false">AM32+MIN(AC32-AM32,MAX(0,'Start Here'!$B$10-SUM($AJ32:$AS32)-SUMPRODUCT(($Z$3:$AI$3&lt;AC$3)*($Z32:$AI32-$AJ32:$AS32))))</f>
        <v>0</v>
      </c>
      <c r="J32" s="42" t="n">
        <f aca="false">AN32+MIN(AD32-AN32,MAX(0,'Start Here'!$B$10-SUM($AJ32:$AS32)-SUMPRODUCT(($Z$3:$AI$3&lt;AD$3)*($Z32:$AI32-$AJ32:$AS32))))</f>
        <v>0</v>
      </c>
      <c r="K32" s="42" t="n">
        <f aca="false">AO32+MIN(AE32-AO32,MAX(0,'Start Here'!$B$10-SUM($AJ32:$AS32)-SUMPRODUCT(($Z$3:$AI$3&lt;AE$3)*($Z32:$AI32-$AJ32:$AS32))))</f>
        <v>210</v>
      </c>
      <c r="L32" s="42" t="n">
        <f aca="false">AP32+MIN(AF32-AP32,MAX(0,'Start Here'!$B$10-SUM($AJ32:$AS32)-SUMPRODUCT(($Z$3:$AI$3&lt;AF$3)*($Z32:$AI32-$AJ32:$AS32))))</f>
        <v>0</v>
      </c>
      <c r="M32" s="42" t="n">
        <f aca="false">AQ32+MIN(AG32-AQ32,MAX(0,'Start Here'!$B$10-SUM($AJ32:$AS32)-SUMPRODUCT(($Z$3:$AI$3&lt;AG$3)*($Z32:$AI32-$AJ32:$AS32))))</f>
        <v>0</v>
      </c>
      <c r="N32" s="42" t="n">
        <f aca="false">AR32+MIN(AH32-AR32,MAX(0,'Start Here'!$B$10-SUM($AJ32:$AS32)-SUMPRODUCT(($Z$3:$AI$3&lt;AH$3)*($Z32:$AI32-$AJ32:$AS32))))</f>
        <v>0</v>
      </c>
      <c r="O32" s="42" t="n">
        <f aca="false">AS32+MIN(AI32-AS32,MAX(0,'Start Here'!$B$10-SUM($AJ32:$AS32)-SUMPRODUCT(($Z$3:$AI$3&lt;AI$3)*($Z32:$AI32-$AJ32:$AS32))))</f>
        <v>0</v>
      </c>
      <c r="P32" s="42" t="n">
        <f aca="false">ROUND(Z32-F32,2)</f>
        <v>0</v>
      </c>
      <c r="Q32" s="42" t="n">
        <f aca="false">ROUND(AA32-G32,2)</f>
        <v>0</v>
      </c>
      <c r="R32" s="42" t="n">
        <f aca="false">ROUND(AB32-H32,2)</f>
        <v>1098.14</v>
      </c>
      <c r="S32" s="42" t="n">
        <f aca="false">ROUND(AC32-I32,2)</f>
        <v>0</v>
      </c>
      <c r="T32" s="42" t="n">
        <f aca="false">ROUND(AD32-J32,2)</f>
        <v>0</v>
      </c>
      <c r="U32" s="42" t="n">
        <f aca="false">ROUND(AE32-K32,2)</f>
        <v>14768.38</v>
      </c>
      <c r="V32" s="42" t="n">
        <f aca="false">ROUND(AF32-L32,2)</f>
        <v>0</v>
      </c>
      <c r="W32" s="42" t="n">
        <f aca="false">ROUND(AG32-M32,2)</f>
        <v>0</v>
      </c>
      <c r="X32" s="42" t="n">
        <f aca="false">ROUND(AH32-N32,2)</f>
        <v>0</v>
      </c>
      <c r="Y32" s="42" t="n">
        <f aca="false">ROUND(AI32-O32,2)</f>
        <v>0</v>
      </c>
      <c r="Z32" s="56" t="n">
        <f aca="false">ROUND(P31*(1+N(Debts!$D$5)/12),2)</f>
        <v>0</v>
      </c>
      <c r="AA32" s="56" t="n">
        <f aca="false">ROUND(Q31*(1+N(Debts!$D$6)/12),2)</f>
        <v>0</v>
      </c>
      <c r="AB32" s="56" t="n">
        <f aca="false">ROUND(R31*(1+N(Debts!$D$7)/12),2)</f>
        <v>2108.14</v>
      </c>
      <c r="AC32" s="56" t="n">
        <f aca="false">ROUND(S31*(1+N(Debts!$D$8)/12),2)</f>
        <v>0</v>
      </c>
      <c r="AD32" s="56" t="n">
        <f aca="false">ROUND(T31*(1+N(Debts!$D$9)/12),2)</f>
        <v>0</v>
      </c>
      <c r="AE32" s="56" t="n">
        <f aca="false">ROUND(U31*(1+N(Debts!$D$10)/12),2)</f>
        <v>14978.38</v>
      </c>
      <c r="AF32" s="56" t="n">
        <f aca="false">ROUND(V31*(1+N(Debts!$D$11)/12),2)</f>
        <v>0</v>
      </c>
      <c r="AG32" s="56" t="n">
        <f aca="false">ROUND(W31*(1+N(Debts!$D$12)/12),2)</f>
        <v>0</v>
      </c>
      <c r="AH32" s="56" t="n">
        <f aca="false">ROUND(X31*(1+N(Debts!$D$13)/12),2)</f>
        <v>0</v>
      </c>
      <c r="AI32" s="56" t="n">
        <f aca="false">ROUND(Y31*(1+N(Debts!$D$14)/12),2)</f>
        <v>0</v>
      </c>
      <c r="AJ32" s="56" t="n">
        <f aca="false">MIN(Z32,MAX(0,N(Debts!$E$5)))</f>
        <v>0</v>
      </c>
      <c r="AK32" s="56" t="n">
        <f aca="false">MIN(AA32,MAX(0,N(Debts!$E$6)))</f>
        <v>0</v>
      </c>
      <c r="AL32" s="56" t="n">
        <f aca="false">MIN(AB32,MAX(0,N(Debts!$E$7)))</f>
        <v>310</v>
      </c>
      <c r="AM32" s="56" t="n">
        <f aca="false">MIN(AC32,MAX(0,N(Debts!$E$8)))</f>
        <v>0</v>
      </c>
      <c r="AN32" s="56" t="n">
        <f aca="false">MIN(AD32,MAX(0,N(Debts!$E$9)))</f>
        <v>0</v>
      </c>
      <c r="AO32" s="56" t="n">
        <f aca="false">MIN(AE32,MAX(0,N(Debts!$E$10)))</f>
        <v>210</v>
      </c>
      <c r="AP32" s="56" t="n">
        <f aca="false">MIN(AF32,MAX(0,N(Debts!$E$11)))</f>
        <v>0</v>
      </c>
      <c r="AQ32" s="56" t="n">
        <f aca="false">MIN(AG32,MAX(0,N(Debts!$E$12)))</f>
        <v>0</v>
      </c>
      <c r="AR32" s="56" t="n">
        <f aca="false">MIN(AH32,MAX(0,N(Debts!$E$13)))</f>
        <v>0</v>
      </c>
      <c r="AS32" s="56" t="n">
        <f aca="false">MIN(AI32,MAX(0,N(Debts!$E$14)))</f>
        <v>0</v>
      </c>
    </row>
    <row r="33" customFormat="false" ht="15" hidden="false" customHeight="false" outlineLevel="0" collapsed="false">
      <c r="A33" s="53" t="n">
        <v>29</v>
      </c>
      <c r="B33" s="54" t="n">
        <f aca="false">EDATE('Start Here'!$B$8,28)</f>
        <v>47178</v>
      </c>
      <c r="C33" s="42" t="n">
        <f aca="false">SUM(F33:O33)</f>
        <v>1220</v>
      </c>
      <c r="D33" s="42" t="n">
        <f aca="false">ROUND(SUM($Z33:$AI33)-SUM(P32:Y32),2)</f>
        <v>74.92</v>
      </c>
      <c r="E33" s="55" t="n">
        <f aca="false">SUM(P33:Y33)</f>
        <v>14721.44</v>
      </c>
      <c r="F33" s="42" t="n">
        <f aca="false">AJ33+MIN(Z33-AJ33,MAX(0,'Start Here'!$B$10-SUM($AJ33:$AS33)-SUMPRODUCT(($Z$3:$AI$3&lt;Z$3)*($Z33:$AI33-$AJ33:$AS33))))</f>
        <v>0</v>
      </c>
      <c r="G33" s="42" t="n">
        <f aca="false">AK33+MIN(AA33-AK33,MAX(0,'Start Here'!$B$10-SUM($AJ33:$AS33)-SUMPRODUCT(($Z$3:$AI$3&lt;AA$3)*($Z33:$AI33-$AJ33:$AS33))))</f>
        <v>0</v>
      </c>
      <c r="H33" s="42" t="n">
        <f aca="false">AL33+MIN(AB33-AL33,MAX(0,'Start Here'!$B$10-SUM($AJ33:$AS33)-SUMPRODUCT(($Z$3:$AI$3&lt;AB$3)*($Z33:$AI33-$AJ33:$AS33))))</f>
        <v>1010</v>
      </c>
      <c r="I33" s="42" t="n">
        <f aca="false">AM33+MIN(AC33-AM33,MAX(0,'Start Here'!$B$10-SUM($AJ33:$AS33)-SUMPRODUCT(($Z$3:$AI$3&lt;AC$3)*($Z33:$AI33-$AJ33:$AS33))))</f>
        <v>0</v>
      </c>
      <c r="J33" s="42" t="n">
        <f aca="false">AN33+MIN(AD33-AN33,MAX(0,'Start Here'!$B$10-SUM($AJ33:$AS33)-SUMPRODUCT(($Z$3:$AI$3&lt;AD$3)*($Z33:$AI33-$AJ33:$AS33))))</f>
        <v>0</v>
      </c>
      <c r="K33" s="42" t="n">
        <f aca="false">AO33+MIN(AE33-AO33,MAX(0,'Start Here'!$B$10-SUM($AJ33:$AS33)-SUMPRODUCT(($Z$3:$AI$3&lt;AE$3)*($Z33:$AI33-$AJ33:$AS33))))</f>
        <v>210</v>
      </c>
      <c r="L33" s="42" t="n">
        <f aca="false">AP33+MIN(AF33-AP33,MAX(0,'Start Here'!$B$10-SUM($AJ33:$AS33)-SUMPRODUCT(($Z$3:$AI$3&lt;AF$3)*($Z33:$AI33-$AJ33:$AS33))))</f>
        <v>0</v>
      </c>
      <c r="M33" s="42" t="n">
        <f aca="false">AQ33+MIN(AG33-AQ33,MAX(0,'Start Here'!$B$10-SUM($AJ33:$AS33)-SUMPRODUCT(($Z$3:$AI$3&lt;AG$3)*($Z33:$AI33-$AJ33:$AS33))))</f>
        <v>0</v>
      </c>
      <c r="N33" s="42" t="n">
        <f aca="false">AR33+MIN(AH33-AR33,MAX(0,'Start Here'!$B$10-SUM($AJ33:$AS33)-SUMPRODUCT(($Z$3:$AI$3&lt;AH$3)*($Z33:$AI33-$AJ33:$AS33))))</f>
        <v>0</v>
      </c>
      <c r="O33" s="42" t="n">
        <f aca="false">AS33+MIN(AI33-AS33,MAX(0,'Start Here'!$B$10-SUM($AJ33:$AS33)-SUMPRODUCT(($Z$3:$AI$3&lt;AI$3)*($Z33:$AI33-$AJ33:$AS33))))</f>
        <v>0</v>
      </c>
      <c r="P33" s="42" t="n">
        <f aca="false">ROUND(Z33-F33,2)</f>
        <v>0</v>
      </c>
      <c r="Q33" s="42" t="n">
        <f aca="false">ROUND(AA33-G33,2)</f>
        <v>0</v>
      </c>
      <c r="R33" s="42" t="n">
        <f aca="false">ROUND(AB33-H33,2)</f>
        <v>95.37</v>
      </c>
      <c r="S33" s="42" t="n">
        <f aca="false">ROUND(AC33-I33,2)</f>
        <v>0</v>
      </c>
      <c r="T33" s="42" t="n">
        <f aca="false">ROUND(AD33-J33,2)</f>
        <v>0</v>
      </c>
      <c r="U33" s="42" t="n">
        <f aca="false">ROUND(AE33-K33,2)</f>
        <v>14626.07</v>
      </c>
      <c r="V33" s="42" t="n">
        <f aca="false">ROUND(AF33-L33,2)</f>
        <v>0</v>
      </c>
      <c r="W33" s="42" t="n">
        <f aca="false">ROUND(AG33-M33,2)</f>
        <v>0</v>
      </c>
      <c r="X33" s="42" t="n">
        <f aca="false">ROUND(AH33-N33,2)</f>
        <v>0</v>
      </c>
      <c r="Y33" s="42" t="n">
        <f aca="false">ROUND(AI33-O33,2)</f>
        <v>0</v>
      </c>
      <c r="Z33" s="56" t="n">
        <f aca="false">ROUND(P32*(1+N(Debts!$D$5)/12),2)</f>
        <v>0</v>
      </c>
      <c r="AA33" s="56" t="n">
        <f aca="false">ROUND(Q32*(1+N(Debts!$D$6)/12),2)</f>
        <v>0</v>
      </c>
      <c r="AB33" s="56" t="n">
        <f aca="false">ROUND(R32*(1+N(Debts!$D$7)/12),2)</f>
        <v>1105.37</v>
      </c>
      <c r="AC33" s="56" t="n">
        <f aca="false">ROUND(S32*(1+N(Debts!$D$8)/12),2)</f>
        <v>0</v>
      </c>
      <c r="AD33" s="56" t="n">
        <f aca="false">ROUND(T32*(1+N(Debts!$D$9)/12),2)</f>
        <v>0</v>
      </c>
      <c r="AE33" s="56" t="n">
        <f aca="false">ROUND(U32*(1+N(Debts!$D$10)/12),2)</f>
        <v>14836.07</v>
      </c>
      <c r="AF33" s="56" t="n">
        <f aca="false">ROUND(V32*(1+N(Debts!$D$11)/12),2)</f>
        <v>0</v>
      </c>
      <c r="AG33" s="56" t="n">
        <f aca="false">ROUND(W32*(1+N(Debts!$D$12)/12),2)</f>
        <v>0</v>
      </c>
      <c r="AH33" s="56" t="n">
        <f aca="false">ROUND(X32*(1+N(Debts!$D$13)/12),2)</f>
        <v>0</v>
      </c>
      <c r="AI33" s="56" t="n">
        <f aca="false">ROUND(Y32*(1+N(Debts!$D$14)/12),2)</f>
        <v>0</v>
      </c>
      <c r="AJ33" s="56" t="n">
        <f aca="false">MIN(Z33,MAX(0,N(Debts!$E$5)))</f>
        <v>0</v>
      </c>
      <c r="AK33" s="56" t="n">
        <f aca="false">MIN(AA33,MAX(0,N(Debts!$E$6)))</f>
        <v>0</v>
      </c>
      <c r="AL33" s="56" t="n">
        <f aca="false">MIN(AB33,MAX(0,N(Debts!$E$7)))</f>
        <v>310</v>
      </c>
      <c r="AM33" s="56" t="n">
        <f aca="false">MIN(AC33,MAX(0,N(Debts!$E$8)))</f>
        <v>0</v>
      </c>
      <c r="AN33" s="56" t="n">
        <f aca="false">MIN(AD33,MAX(0,N(Debts!$E$9)))</f>
        <v>0</v>
      </c>
      <c r="AO33" s="56" t="n">
        <f aca="false">MIN(AE33,MAX(0,N(Debts!$E$10)))</f>
        <v>210</v>
      </c>
      <c r="AP33" s="56" t="n">
        <f aca="false">MIN(AF33,MAX(0,N(Debts!$E$11)))</f>
        <v>0</v>
      </c>
      <c r="AQ33" s="56" t="n">
        <f aca="false">MIN(AG33,MAX(0,N(Debts!$E$12)))</f>
        <v>0</v>
      </c>
      <c r="AR33" s="56" t="n">
        <f aca="false">MIN(AH33,MAX(0,N(Debts!$E$13)))</f>
        <v>0</v>
      </c>
      <c r="AS33" s="56" t="n">
        <f aca="false">MIN(AI33,MAX(0,N(Debts!$E$14)))</f>
        <v>0</v>
      </c>
    </row>
    <row r="34" customFormat="false" ht="15" hidden="false" customHeight="false" outlineLevel="0" collapsed="false">
      <c r="A34" s="53" t="n">
        <v>30</v>
      </c>
      <c r="B34" s="54" t="n">
        <f aca="false">EDATE('Start Here'!$B$8,29)</f>
        <v>47209</v>
      </c>
      <c r="C34" s="42" t="n">
        <f aca="false">SUM(F34:O34)</f>
        <v>1220</v>
      </c>
      <c r="D34" s="42" t="n">
        <f aca="false">ROUND(SUM($Z34:$AI34)-SUM(P33:Y33),2)</f>
        <v>67.67</v>
      </c>
      <c r="E34" s="55" t="n">
        <f aca="false">SUM(P34:Y34)</f>
        <v>13569.11</v>
      </c>
      <c r="F34" s="42" t="n">
        <f aca="false">AJ34+MIN(Z34-AJ34,MAX(0,'Start Here'!$B$10-SUM($AJ34:$AS34)-SUMPRODUCT(($Z$3:$AI$3&lt;Z$3)*($Z34:$AI34-$AJ34:$AS34))))</f>
        <v>0</v>
      </c>
      <c r="G34" s="42" t="n">
        <f aca="false">AK34+MIN(AA34-AK34,MAX(0,'Start Here'!$B$10-SUM($AJ34:$AS34)-SUMPRODUCT(($Z$3:$AI$3&lt;AA$3)*($Z34:$AI34-$AJ34:$AS34))))</f>
        <v>0</v>
      </c>
      <c r="H34" s="42" t="n">
        <f aca="false">AL34+MIN(AB34-AL34,MAX(0,'Start Here'!$B$10-SUM($AJ34:$AS34)-SUMPRODUCT(($Z$3:$AI$3&lt;AB$3)*($Z34:$AI34-$AJ34:$AS34))))</f>
        <v>96</v>
      </c>
      <c r="I34" s="42" t="n">
        <f aca="false">AM34+MIN(AC34-AM34,MAX(0,'Start Here'!$B$10-SUM($AJ34:$AS34)-SUMPRODUCT(($Z$3:$AI$3&lt;AC$3)*($Z34:$AI34-$AJ34:$AS34))))</f>
        <v>0</v>
      </c>
      <c r="J34" s="42" t="n">
        <f aca="false">AN34+MIN(AD34-AN34,MAX(0,'Start Here'!$B$10-SUM($AJ34:$AS34)-SUMPRODUCT(($Z$3:$AI$3&lt;AD$3)*($Z34:$AI34-$AJ34:$AS34))))</f>
        <v>0</v>
      </c>
      <c r="K34" s="42" t="n">
        <f aca="false">AO34+MIN(AE34-AO34,MAX(0,'Start Here'!$B$10-SUM($AJ34:$AS34)-SUMPRODUCT(($Z$3:$AI$3&lt;AE$3)*($Z34:$AI34-$AJ34:$AS34))))</f>
        <v>1124</v>
      </c>
      <c r="L34" s="42" t="n">
        <f aca="false">AP34+MIN(AF34-AP34,MAX(0,'Start Here'!$B$10-SUM($AJ34:$AS34)-SUMPRODUCT(($Z$3:$AI$3&lt;AF$3)*($Z34:$AI34-$AJ34:$AS34))))</f>
        <v>0</v>
      </c>
      <c r="M34" s="42" t="n">
        <f aca="false">AQ34+MIN(AG34-AQ34,MAX(0,'Start Here'!$B$10-SUM($AJ34:$AS34)-SUMPRODUCT(($Z$3:$AI$3&lt;AG$3)*($Z34:$AI34-$AJ34:$AS34))))</f>
        <v>0</v>
      </c>
      <c r="N34" s="42" t="n">
        <f aca="false">AR34+MIN(AH34-AR34,MAX(0,'Start Here'!$B$10-SUM($AJ34:$AS34)-SUMPRODUCT(($Z$3:$AI$3&lt;AH$3)*($Z34:$AI34-$AJ34:$AS34))))</f>
        <v>0</v>
      </c>
      <c r="O34" s="42" t="n">
        <f aca="false">AS34+MIN(AI34-AS34,MAX(0,'Start Here'!$B$10-SUM($AJ34:$AS34)-SUMPRODUCT(($Z$3:$AI$3&lt;AI$3)*($Z34:$AI34-$AJ34:$AS34))))</f>
        <v>0</v>
      </c>
      <c r="P34" s="42" t="n">
        <f aca="false">ROUND(Z34-F34,2)</f>
        <v>0</v>
      </c>
      <c r="Q34" s="42" t="n">
        <f aca="false">ROUND(AA34-G34,2)</f>
        <v>0</v>
      </c>
      <c r="R34" s="42" t="n">
        <f aca="false">ROUND(AB34-H34,2)</f>
        <v>0</v>
      </c>
      <c r="S34" s="42" t="n">
        <f aca="false">ROUND(AC34-I34,2)</f>
        <v>0</v>
      </c>
      <c r="T34" s="42" t="n">
        <f aca="false">ROUND(AD34-J34,2)</f>
        <v>0</v>
      </c>
      <c r="U34" s="42" t="n">
        <f aca="false">ROUND(AE34-K34,2)</f>
        <v>13569.11</v>
      </c>
      <c r="V34" s="42" t="n">
        <f aca="false">ROUND(AF34-L34,2)</f>
        <v>0</v>
      </c>
      <c r="W34" s="42" t="n">
        <f aca="false">ROUND(AG34-M34,2)</f>
        <v>0</v>
      </c>
      <c r="X34" s="42" t="n">
        <f aca="false">ROUND(AH34-N34,2)</f>
        <v>0</v>
      </c>
      <c r="Y34" s="42" t="n">
        <f aca="false">ROUND(AI34-O34,2)</f>
        <v>0</v>
      </c>
      <c r="Z34" s="56" t="n">
        <f aca="false">ROUND(P33*(1+N(Debts!$D$5)/12),2)</f>
        <v>0</v>
      </c>
      <c r="AA34" s="56" t="n">
        <f aca="false">ROUND(Q33*(1+N(Debts!$D$6)/12),2)</f>
        <v>0</v>
      </c>
      <c r="AB34" s="56" t="n">
        <f aca="false">ROUND(R33*(1+N(Debts!$D$7)/12),2)</f>
        <v>96</v>
      </c>
      <c r="AC34" s="56" t="n">
        <f aca="false">ROUND(S33*(1+N(Debts!$D$8)/12),2)</f>
        <v>0</v>
      </c>
      <c r="AD34" s="56" t="n">
        <f aca="false">ROUND(T33*(1+N(Debts!$D$9)/12),2)</f>
        <v>0</v>
      </c>
      <c r="AE34" s="56" t="n">
        <f aca="false">ROUND(U33*(1+N(Debts!$D$10)/12),2)</f>
        <v>14693.11</v>
      </c>
      <c r="AF34" s="56" t="n">
        <f aca="false">ROUND(V33*(1+N(Debts!$D$11)/12),2)</f>
        <v>0</v>
      </c>
      <c r="AG34" s="56" t="n">
        <f aca="false">ROUND(W33*(1+N(Debts!$D$12)/12),2)</f>
        <v>0</v>
      </c>
      <c r="AH34" s="56" t="n">
        <f aca="false">ROUND(X33*(1+N(Debts!$D$13)/12),2)</f>
        <v>0</v>
      </c>
      <c r="AI34" s="56" t="n">
        <f aca="false">ROUND(Y33*(1+N(Debts!$D$14)/12),2)</f>
        <v>0</v>
      </c>
      <c r="AJ34" s="56" t="n">
        <f aca="false">MIN(Z34,MAX(0,N(Debts!$E$5)))</f>
        <v>0</v>
      </c>
      <c r="AK34" s="56" t="n">
        <f aca="false">MIN(AA34,MAX(0,N(Debts!$E$6)))</f>
        <v>0</v>
      </c>
      <c r="AL34" s="56" t="n">
        <f aca="false">MIN(AB34,MAX(0,N(Debts!$E$7)))</f>
        <v>96</v>
      </c>
      <c r="AM34" s="56" t="n">
        <f aca="false">MIN(AC34,MAX(0,N(Debts!$E$8)))</f>
        <v>0</v>
      </c>
      <c r="AN34" s="56" t="n">
        <f aca="false">MIN(AD34,MAX(0,N(Debts!$E$9)))</f>
        <v>0</v>
      </c>
      <c r="AO34" s="56" t="n">
        <f aca="false">MIN(AE34,MAX(0,N(Debts!$E$10)))</f>
        <v>210</v>
      </c>
      <c r="AP34" s="56" t="n">
        <f aca="false">MIN(AF34,MAX(0,N(Debts!$E$11)))</f>
        <v>0</v>
      </c>
      <c r="AQ34" s="56" t="n">
        <f aca="false">MIN(AG34,MAX(0,N(Debts!$E$12)))</f>
        <v>0</v>
      </c>
      <c r="AR34" s="56" t="n">
        <f aca="false">MIN(AH34,MAX(0,N(Debts!$E$13)))</f>
        <v>0</v>
      </c>
      <c r="AS34" s="56" t="n">
        <f aca="false">MIN(AI34,MAX(0,N(Debts!$E$14)))</f>
        <v>0</v>
      </c>
    </row>
    <row r="35" customFormat="false" ht="15" hidden="false" customHeight="false" outlineLevel="0" collapsed="false">
      <c r="A35" s="53" t="n">
        <v>31</v>
      </c>
      <c r="B35" s="54" t="n">
        <f aca="false">EDATE('Start Here'!$B$8,30)</f>
        <v>47239</v>
      </c>
      <c r="C35" s="42" t="n">
        <f aca="false">SUM(F35:O35)</f>
        <v>1220</v>
      </c>
      <c r="D35" s="42" t="n">
        <f aca="false">ROUND(SUM($Z35:$AI35)-SUM(P34:Y34),2)</f>
        <v>62.19</v>
      </c>
      <c r="E35" s="55" t="n">
        <f aca="false">SUM(P35:Y35)</f>
        <v>12411.3</v>
      </c>
      <c r="F35" s="42" t="n">
        <f aca="false">AJ35+MIN(Z35-AJ35,MAX(0,'Start Here'!$B$10-SUM($AJ35:$AS35)-SUMPRODUCT(($Z$3:$AI$3&lt;Z$3)*($Z35:$AI35-$AJ35:$AS35))))</f>
        <v>0</v>
      </c>
      <c r="G35" s="42" t="n">
        <f aca="false">AK35+MIN(AA35-AK35,MAX(0,'Start Here'!$B$10-SUM($AJ35:$AS35)-SUMPRODUCT(($Z$3:$AI$3&lt;AA$3)*($Z35:$AI35-$AJ35:$AS35))))</f>
        <v>0</v>
      </c>
      <c r="H35" s="42" t="n">
        <f aca="false">AL35+MIN(AB35-AL35,MAX(0,'Start Here'!$B$10-SUM($AJ35:$AS35)-SUMPRODUCT(($Z$3:$AI$3&lt;AB$3)*($Z35:$AI35-$AJ35:$AS35))))</f>
        <v>0</v>
      </c>
      <c r="I35" s="42" t="n">
        <f aca="false">AM35+MIN(AC35-AM35,MAX(0,'Start Here'!$B$10-SUM($AJ35:$AS35)-SUMPRODUCT(($Z$3:$AI$3&lt;AC$3)*($Z35:$AI35-$AJ35:$AS35))))</f>
        <v>0</v>
      </c>
      <c r="J35" s="42" t="n">
        <f aca="false">AN35+MIN(AD35-AN35,MAX(0,'Start Here'!$B$10-SUM($AJ35:$AS35)-SUMPRODUCT(($Z$3:$AI$3&lt;AD$3)*($Z35:$AI35-$AJ35:$AS35))))</f>
        <v>0</v>
      </c>
      <c r="K35" s="42" t="n">
        <f aca="false">AO35+MIN(AE35-AO35,MAX(0,'Start Here'!$B$10-SUM($AJ35:$AS35)-SUMPRODUCT(($Z$3:$AI$3&lt;AE$3)*($Z35:$AI35-$AJ35:$AS35))))</f>
        <v>1220</v>
      </c>
      <c r="L35" s="42" t="n">
        <f aca="false">AP35+MIN(AF35-AP35,MAX(0,'Start Here'!$B$10-SUM($AJ35:$AS35)-SUMPRODUCT(($Z$3:$AI$3&lt;AF$3)*($Z35:$AI35-$AJ35:$AS35))))</f>
        <v>0</v>
      </c>
      <c r="M35" s="42" t="n">
        <f aca="false">AQ35+MIN(AG35-AQ35,MAX(0,'Start Here'!$B$10-SUM($AJ35:$AS35)-SUMPRODUCT(($Z$3:$AI$3&lt;AG$3)*($Z35:$AI35-$AJ35:$AS35))))</f>
        <v>0</v>
      </c>
      <c r="N35" s="42" t="n">
        <f aca="false">AR35+MIN(AH35-AR35,MAX(0,'Start Here'!$B$10-SUM($AJ35:$AS35)-SUMPRODUCT(($Z$3:$AI$3&lt;AH$3)*($Z35:$AI35-$AJ35:$AS35))))</f>
        <v>0</v>
      </c>
      <c r="O35" s="42" t="n">
        <f aca="false">AS35+MIN(AI35-AS35,MAX(0,'Start Here'!$B$10-SUM($AJ35:$AS35)-SUMPRODUCT(($Z$3:$AI$3&lt;AI$3)*($Z35:$AI35-$AJ35:$AS35))))</f>
        <v>0</v>
      </c>
      <c r="P35" s="42" t="n">
        <f aca="false">ROUND(Z35-F35,2)</f>
        <v>0</v>
      </c>
      <c r="Q35" s="42" t="n">
        <f aca="false">ROUND(AA35-G35,2)</f>
        <v>0</v>
      </c>
      <c r="R35" s="42" t="n">
        <f aca="false">ROUND(AB35-H35,2)</f>
        <v>0</v>
      </c>
      <c r="S35" s="42" t="n">
        <f aca="false">ROUND(AC35-I35,2)</f>
        <v>0</v>
      </c>
      <c r="T35" s="42" t="n">
        <f aca="false">ROUND(AD35-J35,2)</f>
        <v>0</v>
      </c>
      <c r="U35" s="42" t="n">
        <f aca="false">ROUND(AE35-K35,2)</f>
        <v>12411.3</v>
      </c>
      <c r="V35" s="42" t="n">
        <f aca="false">ROUND(AF35-L35,2)</f>
        <v>0</v>
      </c>
      <c r="W35" s="42" t="n">
        <f aca="false">ROUND(AG35-M35,2)</f>
        <v>0</v>
      </c>
      <c r="X35" s="42" t="n">
        <f aca="false">ROUND(AH35-N35,2)</f>
        <v>0</v>
      </c>
      <c r="Y35" s="42" t="n">
        <f aca="false">ROUND(AI35-O35,2)</f>
        <v>0</v>
      </c>
      <c r="Z35" s="56" t="n">
        <f aca="false">ROUND(P34*(1+N(Debts!$D$5)/12),2)</f>
        <v>0</v>
      </c>
      <c r="AA35" s="56" t="n">
        <f aca="false">ROUND(Q34*(1+N(Debts!$D$6)/12),2)</f>
        <v>0</v>
      </c>
      <c r="AB35" s="56" t="n">
        <f aca="false">ROUND(R34*(1+N(Debts!$D$7)/12),2)</f>
        <v>0</v>
      </c>
      <c r="AC35" s="56" t="n">
        <f aca="false">ROUND(S34*(1+N(Debts!$D$8)/12),2)</f>
        <v>0</v>
      </c>
      <c r="AD35" s="56" t="n">
        <f aca="false">ROUND(T34*(1+N(Debts!$D$9)/12),2)</f>
        <v>0</v>
      </c>
      <c r="AE35" s="56" t="n">
        <f aca="false">ROUND(U34*(1+N(Debts!$D$10)/12),2)</f>
        <v>13631.3</v>
      </c>
      <c r="AF35" s="56" t="n">
        <f aca="false">ROUND(V34*(1+N(Debts!$D$11)/12),2)</f>
        <v>0</v>
      </c>
      <c r="AG35" s="56" t="n">
        <f aca="false">ROUND(W34*(1+N(Debts!$D$12)/12),2)</f>
        <v>0</v>
      </c>
      <c r="AH35" s="56" t="n">
        <f aca="false">ROUND(X34*(1+N(Debts!$D$13)/12),2)</f>
        <v>0</v>
      </c>
      <c r="AI35" s="56" t="n">
        <f aca="false">ROUND(Y34*(1+N(Debts!$D$14)/12),2)</f>
        <v>0</v>
      </c>
      <c r="AJ35" s="56" t="n">
        <f aca="false">MIN(Z35,MAX(0,N(Debts!$E$5)))</f>
        <v>0</v>
      </c>
      <c r="AK35" s="56" t="n">
        <f aca="false">MIN(AA35,MAX(0,N(Debts!$E$6)))</f>
        <v>0</v>
      </c>
      <c r="AL35" s="56" t="n">
        <f aca="false">MIN(AB35,MAX(0,N(Debts!$E$7)))</f>
        <v>0</v>
      </c>
      <c r="AM35" s="56" t="n">
        <f aca="false">MIN(AC35,MAX(0,N(Debts!$E$8)))</f>
        <v>0</v>
      </c>
      <c r="AN35" s="56" t="n">
        <f aca="false">MIN(AD35,MAX(0,N(Debts!$E$9)))</f>
        <v>0</v>
      </c>
      <c r="AO35" s="56" t="n">
        <f aca="false">MIN(AE35,MAX(0,N(Debts!$E$10)))</f>
        <v>210</v>
      </c>
      <c r="AP35" s="56" t="n">
        <f aca="false">MIN(AF35,MAX(0,N(Debts!$E$11)))</f>
        <v>0</v>
      </c>
      <c r="AQ35" s="56" t="n">
        <f aca="false">MIN(AG35,MAX(0,N(Debts!$E$12)))</f>
        <v>0</v>
      </c>
      <c r="AR35" s="56" t="n">
        <f aca="false">MIN(AH35,MAX(0,N(Debts!$E$13)))</f>
        <v>0</v>
      </c>
      <c r="AS35" s="56" t="n">
        <f aca="false">MIN(AI35,MAX(0,N(Debts!$E$14)))</f>
        <v>0</v>
      </c>
    </row>
    <row r="36" customFormat="false" ht="15" hidden="false" customHeight="false" outlineLevel="0" collapsed="false">
      <c r="A36" s="53" t="n">
        <v>32</v>
      </c>
      <c r="B36" s="54" t="n">
        <f aca="false">EDATE('Start Here'!$B$8,31)</f>
        <v>47270</v>
      </c>
      <c r="C36" s="42" t="n">
        <f aca="false">SUM(F36:O36)</f>
        <v>1220</v>
      </c>
      <c r="D36" s="42" t="n">
        <f aca="false">ROUND(SUM($Z36:$AI36)-SUM(P35:Y35),2)</f>
        <v>56.89</v>
      </c>
      <c r="E36" s="55" t="n">
        <f aca="false">SUM(P36:Y36)</f>
        <v>11248.19</v>
      </c>
      <c r="F36" s="42" t="n">
        <f aca="false">AJ36+MIN(Z36-AJ36,MAX(0,'Start Here'!$B$10-SUM($AJ36:$AS36)-SUMPRODUCT(($Z$3:$AI$3&lt;Z$3)*($Z36:$AI36-$AJ36:$AS36))))</f>
        <v>0</v>
      </c>
      <c r="G36" s="42" t="n">
        <f aca="false">AK36+MIN(AA36-AK36,MAX(0,'Start Here'!$B$10-SUM($AJ36:$AS36)-SUMPRODUCT(($Z$3:$AI$3&lt;AA$3)*($Z36:$AI36-$AJ36:$AS36))))</f>
        <v>0</v>
      </c>
      <c r="H36" s="42" t="n">
        <f aca="false">AL36+MIN(AB36-AL36,MAX(0,'Start Here'!$B$10-SUM($AJ36:$AS36)-SUMPRODUCT(($Z$3:$AI$3&lt;AB$3)*($Z36:$AI36-$AJ36:$AS36))))</f>
        <v>0</v>
      </c>
      <c r="I36" s="42" t="n">
        <f aca="false">AM36+MIN(AC36-AM36,MAX(0,'Start Here'!$B$10-SUM($AJ36:$AS36)-SUMPRODUCT(($Z$3:$AI$3&lt;AC$3)*($Z36:$AI36-$AJ36:$AS36))))</f>
        <v>0</v>
      </c>
      <c r="J36" s="42" t="n">
        <f aca="false">AN36+MIN(AD36-AN36,MAX(0,'Start Here'!$B$10-SUM($AJ36:$AS36)-SUMPRODUCT(($Z$3:$AI$3&lt;AD$3)*($Z36:$AI36-$AJ36:$AS36))))</f>
        <v>0</v>
      </c>
      <c r="K36" s="42" t="n">
        <f aca="false">AO36+MIN(AE36-AO36,MAX(0,'Start Here'!$B$10-SUM($AJ36:$AS36)-SUMPRODUCT(($Z$3:$AI$3&lt;AE$3)*($Z36:$AI36-$AJ36:$AS36))))</f>
        <v>1220</v>
      </c>
      <c r="L36" s="42" t="n">
        <f aca="false">AP36+MIN(AF36-AP36,MAX(0,'Start Here'!$B$10-SUM($AJ36:$AS36)-SUMPRODUCT(($Z$3:$AI$3&lt;AF$3)*($Z36:$AI36-$AJ36:$AS36))))</f>
        <v>0</v>
      </c>
      <c r="M36" s="42" t="n">
        <f aca="false">AQ36+MIN(AG36-AQ36,MAX(0,'Start Here'!$B$10-SUM($AJ36:$AS36)-SUMPRODUCT(($Z$3:$AI$3&lt;AG$3)*($Z36:$AI36-$AJ36:$AS36))))</f>
        <v>0</v>
      </c>
      <c r="N36" s="42" t="n">
        <f aca="false">AR36+MIN(AH36-AR36,MAX(0,'Start Here'!$B$10-SUM($AJ36:$AS36)-SUMPRODUCT(($Z$3:$AI$3&lt;AH$3)*($Z36:$AI36-$AJ36:$AS36))))</f>
        <v>0</v>
      </c>
      <c r="O36" s="42" t="n">
        <f aca="false">AS36+MIN(AI36-AS36,MAX(0,'Start Here'!$B$10-SUM($AJ36:$AS36)-SUMPRODUCT(($Z$3:$AI$3&lt;AI$3)*($Z36:$AI36-$AJ36:$AS36))))</f>
        <v>0</v>
      </c>
      <c r="P36" s="42" t="n">
        <f aca="false">ROUND(Z36-F36,2)</f>
        <v>0</v>
      </c>
      <c r="Q36" s="42" t="n">
        <f aca="false">ROUND(AA36-G36,2)</f>
        <v>0</v>
      </c>
      <c r="R36" s="42" t="n">
        <f aca="false">ROUND(AB36-H36,2)</f>
        <v>0</v>
      </c>
      <c r="S36" s="42" t="n">
        <f aca="false">ROUND(AC36-I36,2)</f>
        <v>0</v>
      </c>
      <c r="T36" s="42" t="n">
        <f aca="false">ROUND(AD36-J36,2)</f>
        <v>0</v>
      </c>
      <c r="U36" s="42" t="n">
        <f aca="false">ROUND(AE36-K36,2)</f>
        <v>11248.19</v>
      </c>
      <c r="V36" s="42" t="n">
        <f aca="false">ROUND(AF36-L36,2)</f>
        <v>0</v>
      </c>
      <c r="W36" s="42" t="n">
        <f aca="false">ROUND(AG36-M36,2)</f>
        <v>0</v>
      </c>
      <c r="X36" s="42" t="n">
        <f aca="false">ROUND(AH36-N36,2)</f>
        <v>0</v>
      </c>
      <c r="Y36" s="42" t="n">
        <f aca="false">ROUND(AI36-O36,2)</f>
        <v>0</v>
      </c>
      <c r="Z36" s="56" t="n">
        <f aca="false">ROUND(P35*(1+N(Debts!$D$5)/12),2)</f>
        <v>0</v>
      </c>
      <c r="AA36" s="56" t="n">
        <f aca="false">ROUND(Q35*(1+N(Debts!$D$6)/12),2)</f>
        <v>0</v>
      </c>
      <c r="AB36" s="56" t="n">
        <f aca="false">ROUND(R35*(1+N(Debts!$D$7)/12),2)</f>
        <v>0</v>
      </c>
      <c r="AC36" s="56" t="n">
        <f aca="false">ROUND(S35*(1+N(Debts!$D$8)/12),2)</f>
        <v>0</v>
      </c>
      <c r="AD36" s="56" t="n">
        <f aca="false">ROUND(T35*(1+N(Debts!$D$9)/12),2)</f>
        <v>0</v>
      </c>
      <c r="AE36" s="56" t="n">
        <f aca="false">ROUND(U35*(1+N(Debts!$D$10)/12),2)</f>
        <v>12468.19</v>
      </c>
      <c r="AF36" s="56" t="n">
        <f aca="false">ROUND(V35*(1+N(Debts!$D$11)/12),2)</f>
        <v>0</v>
      </c>
      <c r="AG36" s="56" t="n">
        <f aca="false">ROUND(W35*(1+N(Debts!$D$12)/12),2)</f>
        <v>0</v>
      </c>
      <c r="AH36" s="56" t="n">
        <f aca="false">ROUND(X35*(1+N(Debts!$D$13)/12),2)</f>
        <v>0</v>
      </c>
      <c r="AI36" s="56" t="n">
        <f aca="false">ROUND(Y35*(1+N(Debts!$D$14)/12),2)</f>
        <v>0</v>
      </c>
      <c r="AJ36" s="56" t="n">
        <f aca="false">MIN(Z36,MAX(0,N(Debts!$E$5)))</f>
        <v>0</v>
      </c>
      <c r="AK36" s="56" t="n">
        <f aca="false">MIN(AA36,MAX(0,N(Debts!$E$6)))</f>
        <v>0</v>
      </c>
      <c r="AL36" s="56" t="n">
        <f aca="false">MIN(AB36,MAX(0,N(Debts!$E$7)))</f>
        <v>0</v>
      </c>
      <c r="AM36" s="56" t="n">
        <f aca="false">MIN(AC36,MAX(0,N(Debts!$E$8)))</f>
        <v>0</v>
      </c>
      <c r="AN36" s="56" t="n">
        <f aca="false">MIN(AD36,MAX(0,N(Debts!$E$9)))</f>
        <v>0</v>
      </c>
      <c r="AO36" s="56" t="n">
        <f aca="false">MIN(AE36,MAX(0,N(Debts!$E$10)))</f>
        <v>210</v>
      </c>
      <c r="AP36" s="56" t="n">
        <f aca="false">MIN(AF36,MAX(0,N(Debts!$E$11)))</f>
        <v>0</v>
      </c>
      <c r="AQ36" s="56" t="n">
        <f aca="false">MIN(AG36,MAX(0,N(Debts!$E$12)))</f>
        <v>0</v>
      </c>
      <c r="AR36" s="56" t="n">
        <f aca="false">MIN(AH36,MAX(0,N(Debts!$E$13)))</f>
        <v>0</v>
      </c>
      <c r="AS36" s="56" t="n">
        <f aca="false">MIN(AI36,MAX(0,N(Debts!$E$14)))</f>
        <v>0</v>
      </c>
    </row>
    <row r="37" customFormat="false" ht="15" hidden="false" customHeight="false" outlineLevel="0" collapsed="false">
      <c r="A37" s="53" t="n">
        <v>33</v>
      </c>
      <c r="B37" s="54" t="n">
        <f aca="false">EDATE('Start Here'!$B$8,32)</f>
        <v>47300</v>
      </c>
      <c r="C37" s="42" t="n">
        <f aca="false">SUM(F37:O37)</f>
        <v>1220</v>
      </c>
      <c r="D37" s="42" t="n">
        <f aca="false">ROUND(SUM($Z37:$AI37)-SUM(P36:Y36),2)</f>
        <v>51.55</v>
      </c>
      <c r="E37" s="55" t="n">
        <f aca="false">SUM(P37:Y37)</f>
        <v>10079.74</v>
      </c>
      <c r="F37" s="42" t="n">
        <f aca="false">AJ37+MIN(Z37-AJ37,MAX(0,'Start Here'!$B$10-SUM($AJ37:$AS37)-SUMPRODUCT(($Z$3:$AI$3&lt;Z$3)*($Z37:$AI37-$AJ37:$AS37))))</f>
        <v>0</v>
      </c>
      <c r="G37" s="42" t="n">
        <f aca="false">AK37+MIN(AA37-AK37,MAX(0,'Start Here'!$B$10-SUM($AJ37:$AS37)-SUMPRODUCT(($Z$3:$AI$3&lt;AA$3)*($Z37:$AI37-$AJ37:$AS37))))</f>
        <v>0</v>
      </c>
      <c r="H37" s="42" t="n">
        <f aca="false">AL37+MIN(AB37-AL37,MAX(0,'Start Here'!$B$10-SUM($AJ37:$AS37)-SUMPRODUCT(($Z$3:$AI$3&lt;AB$3)*($Z37:$AI37-$AJ37:$AS37))))</f>
        <v>0</v>
      </c>
      <c r="I37" s="42" t="n">
        <f aca="false">AM37+MIN(AC37-AM37,MAX(0,'Start Here'!$B$10-SUM($AJ37:$AS37)-SUMPRODUCT(($Z$3:$AI$3&lt;AC$3)*($Z37:$AI37-$AJ37:$AS37))))</f>
        <v>0</v>
      </c>
      <c r="J37" s="42" t="n">
        <f aca="false">AN37+MIN(AD37-AN37,MAX(0,'Start Here'!$B$10-SUM($AJ37:$AS37)-SUMPRODUCT(($Z$3:$AI$3&lt;AD$3)*($Z37:$AI37-$AJ37:$AS37))))</f>
        <v>0</v>
      </c>
      <c r="K37" s="42" t="n">
        <f aca="false">AO37+MIN(AE37-AO37,MAX(0,'Start Here'!$B$10-SUM($AJ37:$AS37)-SUMPRODUCT(($Z$3:$AI$3&lt;AE$3)*($Z37:$AI37-$AJ37:$AS37))))</f>
        <v>1220</v>
      </c>
      <c r="L37" s="42" t="n">
        <f aca="false">AP37+MIN(AF37-AP37,MAX(0,'Start Here'!$B$10-SUM($AJ37:$AS37)-SUMPRODUCT(($Z$3:$AI$3&lt;AF$3)*($Z37:$AI37-$AJ37:$AS37))))</f>
        <v>0</v>
      </c>
      <c r="M37" s="42" t="n">
        <f aca="false">AQ37+MIN(AG37-AQ37,MAX(0,'Start Here'!$B$10-SUM($AJ37:$AS37)-SUMPRODUCT(($Z$3:$AI$3&lt;AG$3)*($Z37:$AI37-$AJ37:$AS37))))</f>
        <v>0</v>
      </c>
      <c r="N37" s="42" t="n">
        <f aca="false">AR37+MIN(AH37-AR37,MAX(0,'Start Here'!$B$10-SUM($AJ37:$AS37)-SUMPRODUCT(($Z$3:$AI$3&lt;AH$3)*($Z37:$AI37-$AJ37:$AS37))))</f>
        <v>0</v>
      </c>
      <c r="O37" s="42" t="n">
        <f aca="false">AS37+MIN(AI37-AS37,MAX(0,'Start Here'!$B$10-SUM($AJ37:$AS37)-SUMPRODUCT(($Z$3:$AI$3&lt;AI$3)*($Z37:$AI37-$AJ37:$AS37))))</f>
        <v>0</v>
      </c>
      <c r="P37" s="42" t="n">
        <f aca="false">ROUND(Z37-F37,2)</f>
        <v>0</v>
      </c>
      <c r="Q37" s="42" t="n">
        <f aca="false">ROUND(AA37-G37,2)</f>
        <v>0</v>
      </c>
      <c r="R37" s="42" t="n">
        <f aca="false">ROUND(AB37-H37,2)</f>
        <v>0</v>
      </c>
      <c r="S37" s="42" t="n">
        <f aca="false">ROUND(AC37-I37,2)</f>
        <v>0</v>
      </c>
      <c r="T37" s="42" t="n">
        <f aca="false">ROUND(AD37-J37,2)</f>
        <v>0</v>
      </c>
      <c r="U37" s="42" t="n">
        <f aca="false">ROUND(AE37-K37,2)</f>
        <v>10079.74</v>
      </c>
      <c r="V37" s="42" t="n">
        <f aca="false">ROUND(AF37-L37,2)</f>
        <v>0</v>
      </c>
      <c r="W37" s="42" t="n">
        <f aca="false">ROUND(AG37-M37,2)</f>
        <v>0</v>
      </c>
      <c r="X37" s="42" t="n">
        <f aca="false">ROUND(AH37-N37,2)</f>
        <v>0</v>
      </c>
      <c r="Y37" s="42" t="n">
        <f aca="false">ROUND(AI37-O37,2)</f>
        <v>0</v>
      </c>
      <c r="Z37" s="56" t="n">
        <f aca="false">ROUND(P36*(1+N(Debts!$D$5)/12),2)</f>
        <v>0</v>
      </c>
      <c r="AA37" s="56" t="n">
        <f aca="false">ROUND(Q36*(1+N(Debts!$D$6)/12),2)</f>
        <v>0</v>
      </c>
      <c r="AB37" s="56" t="n">
        <f aca="false">ROUND(R36*(1+N(Debts!$D$7)/12),2)</f>
        <v>0</v>
      </c>
      <c r="AC37" s="56" t="n">
        <f aca="false">ROUND(S36*(1+N(Debts!$D$8)/12),2)</f>
        <v>0</v>
      </c>
      <c r="AD37" s="56" t="n">
        <f aca="false">ROUND(T36*(1+N(Debts!$D$9)/12),2)</f>
        <v>0</v>
      </c>
      <c r="AE37" s="56" t="n">
        <f aca="false">ROUND(U36*(1+N(Debts!$D$10)/12),2)</f>
        <v>11299.74</v>
      </c>
      <c r="AF37" s="56" t="n">
        <f aca="false">ROUND(V36*(1+N(Debts!$D$11)/12),2)</f>
        <v>0</v>
      </c>
      <c r="AG37" s="56" t="n">
        <f aca="false">ROUND(W36*(1+N(Debts!$D$12)/12),2)</f>
        <v>0</v>
      </c>
      <c r="AH37" s="56" t="n">
        <f aca="false">ROUND(X36*(1+N(Debts!$D$13)/12),2)</f>
        <v>0</v>
      </c>
      <c r="AI37" s="56" t="n">
        <f aca="false">ROUND(Y36*(1+N(Debts!$D$14)/12),2)</f>
        <v>0</v>
      </c>
      <c r="AJ37" s="56" t="n">
        <f aca="false">MIN(Z37,MAX(0,N(Debts!$E$5)))</f>
        <v>0</v>
      </c>
      <c r="AK37" s="56" t="n">
        <f aca="false">MIN(AA37,MAX(0,N(Debts!$E$6)))</f>
        <v>0</v>
      </c>
      <c r="AL37" s="56" t="n">
        <f aca="false">MIN(AB37,MAX(0,N(Debts!$E$7)))</f>
        <v>0</v>
      </c>
      <c r="AM37" s="56" t="n">
        <f aca="false">MIN(AC37,MAX(0,N(Debts!$E$8)))</f>
        <v>0</v>
      </c>
      <c r="AN37" s="56" t="n">
        <f aca="false">MIN(AD37,MAX(0,N(Debts!$E$9)))</f>
        <v>0</v>
      </c>
      <c r="AO37" s="56" t="n">
        <f aca="false">MIN(AE37,MAX(0,N(Debts!$E$10)))</f>
        <v>210</v>
      </c>
      <c r="AP37" s="56" t="n">
        <f aca="false">MIN(AF37,MAX(0,N(Debts!$E$11)))</f>
        <v>0</v>
      </c>
      <c r="AQ37" s="56" t="n">
        <f aca="false">MIN(AG37,MAX(0,N(Debts!$E$12)))</f>
        <v>0</v>
      </c>
      <c r="AR37" s="56" t="n">
        <f aca="false">MIN(AH37,MAX(0,N(Debts!$E$13)))</f>
        <v>0</v>
      </c>
      <c r="AS37" s="56" t="n">
        <f aca="false">MIN(AI37,MAX(0,N(Debts!$E$14)))</f>
        <v>0</v>
      </c>
    </row>
    <row r="38" customFormat="false" ht="15" hidden="false" customHeight="false" outlineLevel="0" collapsed="false">
      <c r="A38" s="53" t="n">
        <v>34</v>
      </c>
      <c r="B38" s="54" t="n">
        <f aca="false">EDATE('Start Here'!$B$8,33)</f>
        <v>47331</v>
      </c>
      <c r="C38" s="42" t="n">
        <f aca="false">SUM(F38:O38)</f>
        <v>1220</v>
      </c>
      <c r="D38" s="42" t="n">
        <f aca="false">ROUND(SUM($Z38:$AI38)-SUM(P37:Y37),2)</f>
        <v>46.2</v>
      </c>
      <c r="E38" s="55" t="n">
        <f aca="false">SUM(P38:Y38)</f>
        <v>8905.94</v>
      </c>
      <c r="F38" s="42" t="n">
        <f aca="false">AJ38+MIN(Z38-AJ38,MAX(0,'Start Here'!$B$10-SUM($AJ38:$AS38)-SUMPRODUCT(($Z$3:$AI$3&lt;Z$3)*($Z38:$AI38-$AJ38:$AS38))))</f>
        <v>0</v>
      </c>
      <c r="G38" s="42" t="n">
        <f aca="false">AK38+MIN(AA38-AK38,MAX(0,'Start Here'!$B$10-SUM($AJ38:$AS38)-SUMPRODUCT(($Z$3:$AI$3&lt;AA$3)*($Z38:$AI38-$AJ38:$AS38))))</f>
        <v>0</v>
      </c>
      <c r="H38" s="42" t="n">
        <f aca="false">AL38+MIN(AB38-AL38,MAX(0,'Start Here'!$B$10-SUM($AJ38:$AS38)-SUMPRODUCT(($Z$3:$AI$3&lt;AB$3)*($Z38:$AI38-$AJ38:$AS38))))</f>
        <v>0</v>
      </c>
      <c r="I38" s="42" t="n">
        <f aca="false">AM38+MIN(AC38-AM38,MAX(0,'Start Here'!$B$10-SUM($AJ38:$AS38)-SUMPRODUCT(($Z$3:$AI$3&lt;AC$3)*($Z38:$AI38-$AJ38:$AS38))))</f>
        <v>0</v>
      </c>
      <c r="J38" s="42" t="n">
        <f aca="false">AN38+MIN(AD38-AN38,MAX(0,'Start Here'!$B$10-SUM($AJ38:$AS38)-SUMPRODUCT(($Z$3:$AI$3&lt;AD$3)*($Z38:$AI38-$AJ38:$AS38))))</f>
        <v>0</v>
      </c>
      <c r="K38" s="42" t="n">
        <f aca="false">AO38+MIN(AE38-AO38,MAX(0,'Start Here'!$B$10-SUM($AJ38:$AS38)-SUMPRODUCT(($Z$3:$AI$3&lt;AE$3)*($Z38:$AI38-$AJ38:$AS38))))</f>
        <v>1220</v>
      </c>
      <c r="L38" s="42" t="n">
        <f aca="false">AP38+MIN(AF38-AP38,MAX(0,'Start Here'!$B$10-SUM($AJ38:$AS38)-SUMPRODUCT(($Z$3:$AI$3&lt;AF$3)*($Z38:$AI38-$AJ38:$AS38))))</f>
        <v>0</v>
      </c>
      <c r="M38" s="42" t="n">
        <f aca="false">AQ38+MIN(AG38-AQ38,MAX(0,'Start Here'!$B$10-SUM($AJ38:$AS38)-SUMPRODUCT(($Z$3:$AI$3&lt;AG$3)*($Z38:$AI38-$AJ38:$AS38))))</f>
        <v>0</v>
      </c>
      <c r="N38" s="42" t="n">
        <f aca="false">AR38+MIN(AH38-AR38,MAX(0,'Start Here'!$B$10-SUM($AJ38:$AS38)-SUMPRODUCT(($Z$3:$AI$3&lt;AH$3)*($Z38:$AI38-$AJ38:$AS38))))</f>
        <v>0</v>
      </c>
      <c r="O38" s="42" t="n">
        <f aca="false">AS38+MIN(AI38-AS38,MAX(0,'Start Here'!$B$10-SUM($AJ38:$AS38)-SUMPRODUCT(($Z$3:$AI$3&lt;AI$3)*($Z38:$AI38-$AJ38:$AS38))))</f>
        <v>0</v>
      </c>
      <c r="P38" s="42" t="n">
        <f aca="false">ROUND(Z38-F38,2)</f>
        <v>0</v>
      </c>
      <c r="Q38" s="42" t="n">
        <f aca="false">ROUND(AA38-G38,2)</f>
        <v>0</v>
      </c>
      <c r="R38" s="42" t="n">
        <f aca="false">ROUND(AB38-H38,2)</f>
        <v>0</v>
      </c>
      <c r="S38" s="42" t="n">
        <f aca="false">ROUND(AC38-I38,2)</f>
        <v>0</v>
      </c>
      <c r="T38" s="42" t="n">
        <f aca="false">ROUND(AD38-J38,2)</f>
        <v>0</v>
      </c>
      <c r="U38" s="42" t="n">
        <f aca="false">ROUND(AE38-K38,2)</f>
        <v>8905.94</v>
      </c>
      <c r="V38" s="42" t="n">
        <f aca="false">ROUND(AF38-L38,2)</f>
        <v>0</v>
      </c>
      <c r="W38" s="42" t="n">
        <f aca="false">ROUND(AG38-M38,2)</f>
        <v>0</v>
      </c>
      <c r="X38" s="42" t="n">
        <f aca="false">ROUND(AH38-N38,2)</f>
        <v>0</v>
      </c>
      <c r="Y38" s="42" t="n">
        <f aca="false">ROUND(AI38-O38,2)</f>
        <v>0</v>
      </c>
      <c r="Z38" s="56" t="n">
        <f aca="false">ROUND(P37*(1+N(Debts!$D$5)/12),2)</f>
        <v>0</v>
      </c>
      <c r="AA38" s="56" t="n">
        <f aca="false">ROUND(Q37*(1+N(Debts!$D$6)/12),2)</f>
        <v>0</v>
      </c>
      <c r="AB38" s="56" t="n">
        <f aca="false">ROUND(R37*(1+N(Debts!$D$7)/12),2)</f>
        <v>0</v>
      </c>
      <c r="AC38" s="56" t="n">
        <f aca="false">ROUND(S37*(1+N(Debts!$D$8)/12),2)</f>
        <v>0</v>
      </c>
      <c r="AD38" s="56" t="n">
        <f aca="false">ROUND(T37*(1+N(Debts!$D$9)/12),2)</f>
        <v>0</v>
      </c>
      <c r="AE38" s="56" t="n">
        <f aca="false">ROUND(U37*(1+N(Debts!$D$10)/12),2)</f>
        <v>10125.94</v>
      </c>
      <c r="AF38" s="56" t="n">
        <f aca="false">ROUND(V37*(1+N(Debts!$D$11)/12),2)</f>
        <v>0</v>
      </c>
      <c r="AG38" s="56" t="n">
        <f aca="false">ROUND(W37*(1+N(Debts!$D$12)/12),2)</f>
        <v>0</v>
      </c>
      <c r="AH38" s="56" t="n">
        <f aca="false">ROUND(X37*(1+N(Debts!$D$13)/12),2)</f>
        <v>0</v>
      </c>
      <c r="AI38" s="56" t="n">
        <f aca="false">ROUND(Y37*(1+N(Debts!$D$14)/12),2)</f>
        <v>0</v>
      </c>
      <c r="AJ38" s="56" t="n">
        <f aca="false">MIN(Z38,MAX(0,N(Debts!$E$5)))</f>
        <v>0</v>
      </c>
      <c r="AK38" s="56" t="n">
        <f aca="false">MIN(AA38,MAX(0,N(Debts!$E$6)))</f>
        <v>0</v>
      </c>
      <c r="AL38" s="56" t="n">
        <f aca="false">MIN(AB38,MAX(0,N(Debts!$E$7)))</f>
        <v>0</v>
      </c>
      <c r="AM38" s="56" t="n">
        <f aca="false">MIN(AC38,MAX(0,N(Debts!$E$8)))</f>
        <v>0</v>
      </c>
      <c r="AN38" s="56" t="n">
        <f aca="false">MIN(AD38,MAX(0,N(Debts!$E$9)))</f>
        <v>0</v>
      </c>
      <c r="AO38" s="56" t="n">
        <f aca="false">MIN(AE38,MAX(0,N(Debts!$E$10)))</f>
        <v>210</v>
      </c>
      <c r="AP38" s="56" t="n">
        <f aca="false">MIN(AF38,MAX(0,N(Debts!$E$11)))</f>
        <v>0</v>
      </c>
      <c r="AQ38" s="56" t="n">
        <f aca="false">MIN(AG38,MAX(0,N(Debts!$E$12)))</f>
        <v>0</v>
      </c>
      <c r="AR38" s="56" t="n">
        <f aca="false">MIN(AH38,MAX(0,N(Debts!$E$13)))</f>
        <v>0</v>
      </c>
      <c r="AS38" s="56" t="n">
        <f aca="false">MIN(AI38,MAX(0,N(Debts!$E$14)))</f>
        <v>0</v>
      </c>
    </row>
    <row r="39" customFormat="false" ht="15" hidden="false" customHeight="false" outlineLevel="0" collapsed="false">
      <c r="A39" s="53" t="n">
        <v>35</v>
      </c>
      <c r="B39" s="54" t="n">
        <f aca="false">EDATE('Start Here'!$B$8,34)</f>
        <v>47362</v>
      </c>
      <c r="C39" s="42" t="n">
        <f aca="false">SUM(F39:O39)</f>
        <v>1220</v>
      </c>
      <c r="D39" s="42" t="n">
        <f aca="false">ROUND(SUM($Z39:$AI39)-SUM(P38:Y38),2)</f>
        <v>40.82</v>
      </c>
      <c r="E39" s="55" t="n">
        <f aca="false">SUM(P39:Y39)</f>
        <v>7726.76</v>
      </c>
      <c r="F39" s="42" t="n">
        <f aca="false">AJ39+MIN(Z39-AJ39,MAX(0,'Start Here'!$B$10-SUM($AJ39:$AS39)-SUMPRODUCT(($Z$3:$AI$3&lt;Z$3)*($Z39:$AI39-$AJ39:$AS39))))</f>
        <v>0</v>
      </c>
      <c r="G39" s="42" t="n">
        <f aca="false">AK39+MIN(AA39-AK39,MAX(0,'Start Here'!$B$10-SUM($AJ39:$AS39)-SUMPRODUCT(($Z$3:$AI$3&lt;AA$3)*($Z39:$AI39-$AJ39:$AS39))))</f>
        <v>0</v>
      </c>
      <c r="H39" s="42" t="n">
        <f aca="false">AL39+MIN(AB39-AL39,MAX(0,'Start Here'!$B$10-SUM($AJ39:$AS39)-SUMPRODUCT(($Z$3:$AI$3&lt;AB$3)*($Z39:$AI39-$AJ39:$AS39))))</f>
        <v>0</v>
      </c>
      <c r="I39" s="42" t="n">
        <f aca="false">AM39+MIN(AC39-AM39,MAX(0,'Start Here'!$B$10-SUM($AJ39:$AS39)-SUMPRODUCT(($Z$3:$AI$3&lt;AC$3)*($Z39:$AI39-$AJ39:$AS39))))</f>
        <v>0</v>
      </c>
      <c r="J39" s="42" t="n">
        <f aca="false">AN39+MIN(AD39-AN39,MAX(0,'Start Here'!$B$10-SUM($AJ39:$AS39)-SUMPRODUCT(($Z$3:$AI$3&lt;AD$3)*($Z39:$AI39-$AJ39:$AS39))))</f>
        <v>0</v>
      </c>
      <c r="K39" s="42" t="n">
        <f aca="false">AO39+MIN(AE39-AO39,MAX(0,'Start Here'!$B$10-SUM($AJ39:$AS39)-SUMPRODUCT(($Z$3:$AI$3&lt;AE$3)*($Z39:$AI39-$AJ39:$AS39))))</f>
        <v>1220</v>
      </c>
      <c r="L39" s="42" t="n">
        <f aca="false">AP39+MIN(AF39-AP39,MAX(0,'Start Here'!$B$10-SUM($AJ39:$AS39)-SUMPRODUCT(($Z$3:$AI$3&lt;AF$3)*($Z39:$AI39-$AJ39:$AS39))))</f>
        <v>0</v>
      </c>
      <c r="M39" s="42" t="n">
        <f aca="false">AQ39+MIN(AG39-AQ39,MAX(0,'Start Here'!$B$10-SUM($AJ39:$AS39)-SUMPRODUCT(($Z$3:$AI$3&lt;AG$3)*($Z39:$AI39-$AJ39:$AS39))))</f>
        <v>0</v>
      </c>
      <c r="N39" s="42" t="n">
        <f aca="false">AR39+MIN(AH39-AR39,MAX(0,'Start Here'!$B$10-SUM($AJ39:$AS39)-SUMPRODUCT(($Z$3:$AI$3&lt;AH$3)*($Z39:$AI39-$AJ39:$AS39))))</f>
        <v>0</v>
      </c>
      <c r="O39" s="42" t="n">
        <f aca="false">AS39+MIN(AI39-AS39,MAX(0,'Start Here'!$B$10-SUM($AJ39:$AS39)-SUMPRODUCT(($Z$3:$AI$3&lt;AI$3)*($Z39:$AI39-$AJ39:$AS39))))</f>
        <v>0</v>
      </c>
      <c r="P39" s="42" t="n">
        <f aca="false">ROUND(Z39-F39,2)</f>
        <v>0</v>
      </c>
      <c r="Q39" s="42" t="n">
        <f aca="false">ROUND(AA39-G39,2)</f>
        <v>0</v>
      </c>
      <c r="R39" s="42" t="n">
        <f aca="false">ROUND(AB39-H39,2)</f>
        <v>0</v>
      </c>
      <c r="S39" s="42" t="n">
        <f aca="false">ROUND(AC39-I39,2)</f>
        <v>0</v>
      </c>
      <c r="T39" s="42" t="n">
        <f aca="false">ROUND(AD39-J39,2)</f>
        <v>0</v>
      </c>
      <c r="U39" s="42" t="n">
        <f aca="false">ROUND(AE39-K39,2)</f>
        <v>7726.76</v>
      </c>
      <c r="V39" s="42" t="n">
        <f aca="false">ROUND(AF39-L39,2)</f>
        <v>0</v>
      </c>
      <c r="W39" s="42" t="n">
        <f aca="false">ROUND(AG39-M39,2)</f>
        <v>0</v>
      </c>
      <c r="X39" s="42" t="n">
        <f aca="false">ROUND(AH39-N39,2)</f>
        <v>0</v>
      </c>
      <c r="Y39" s="42" t="n">
        <f aca="false">ROUND(AI39-O39,2)</f>
        <v>0</v>
      </c>
      <c r="Z39" s="56" t="n">
        <f aca="false">ROUND(P38*(1+N(Debts!$D$5)/12),2)</f>
        <v>0</v>
      </c>
      <c r="AA39" s="56" t="n">
        <f aca="false">ROUND(Q38*(1+N(Debts!$D$6)/12),2)</f>
        <v>0</v>
      </c>
      <c r="AB39" s="56" t="n">
        <f aca="false">ROUND(R38*(1+N(Debts!$D$7)/12),2)</f>
        <v>0</v>
      </c>
      <c r="AC39" s="56" t="n">
        <f aca="false">ROUND(S38*(1+N(Debts!$D$8)/12),2)</f>
        <v>0</v>
      </c>
      <c r="AD39" s="56" t="n">
        <f aca="false">ROUND(T38*(1+N(Debts!$D$9)/12),2)</f>
        <v>0</v>
      </c>
      <c r="AE39" s="56" t="n">
        <f aca="false">ROUND(U38*(1+N(Debts!$D$10)/12),2)</f>
        <v>8946.76</v>
      </c>
      <c r="AF39" s="56" t="n">
        <f aca="false">ROUND(V38*(1+N(Debts!$D$11)/12),2)</f>
        <v>0</v>
      </c>
      <c r="AG39" s="56" t="n">
        <f aca="false">ROUND(W38*(1+N(Debts!$D$12)/12),2)</f>
        <v>0</v>
      </c>
      <c r="AH39" s="56" t="n">
        <f aca="false">ROUND(X38*(1+N(Debts!$D$13)/12),2)</f>
        <v>0</v>
      </c>
      <c r="AI39" s="56" t="n">
        <f aca="false">ROUND(Y38*(1+N(Debts!$D$14)/12),2)</f>
        <v>0</v>
      </c>
      <c r="AJ39" s="56" t="n">
        <f aca="false">MIN(Z39,MAX(0,N(Debts!$E$5)))</f>
        <v>0</v>
      </c>
      <c r="AK39" s="56" t="n">
        <f aca="false">MIN(AA39,MAX(0,N(Debts!$E$6)))</f>
        <v>0</v>
      </c>
      <c r="AL39" s="56" t="n">
        <f aca="false">MIN(AB39,MAX(0,N(Debts!$E$7)))</f>
        <v>0</v>
      </c>
      <c r="AM39" s="56" t="n">
        <f aca="false">MIN(AC39,MAX(0,N(Debts!$E$8)))</f>
        <v>0</v>
      </c>
      <c r="AN39" s="56" t="n">
        <f aca="false">MIN(AD39,MAX(0,N(Debts!$E$9)))</f>
        <v>0</v>
      </c>
      <c r="AO39" s="56" t="n">
        <f aca="false">MIN(AE39,MAX(0,N(Debts!$E$10)))</f>
        <v>210</v>
      </c>
      <c r="AP39" s="56" t="n">
        <f aca="false">MIN(AF39,MAX(0,N(Debts!$E$11)))</f>
        <v>0</v>
      </c>
      <c r="AQ39" s="56" t="n">
        <f aca="false">MIN(AG39,MAX(0,N(Debts!$E$12)))</f>
        <v>0</v>
      </c>
      <c r="AR39" s="56" t="n">
        <f aca="false">MIN(AH39,MAX(0,N(Debts!$E$13)))</f>
        <v>0</v>
      </c>
      <c r="AS39" s="56" t="n">
        <f aca="false">MIN(AI39,MAX(0,N(Debts!$E$14)))</f>
        <v>0</v>
      </c>
    </row>
    <row r="40" customFormat="false" ht="15" hidden="false" customHeight="false" outlineLevel="0" collapsed="false">
      <c r="A40" s="53" t="n">
        <v>36</v>
      </c>
      <c r="B40" s="54" t="n">
        <f aca="false">EDATE('Start Here'!$B$8,35)</f>
        <v>47392</v>
      </c>
      <c r="C40" s="42" t="n">
        <f aca="false">SUM(F40:O40)</f>
        <v>1220</v>
      </c>
      <c r="D40" s="42" t="n">
        <f aca="false">ROUND(SUM($Z40:$AI40)-SUM(P39:Y39),2)</f>
        <v>35.41</v>
      </c>
      <c r="E40" s="55" t="n">
        <f aca="false">SUM(P40:Y40)</f>
        <v>6542.17</v>
      </c>
      <c r="F40" s="42" t="n">
        <f aca="false">AJ40+MIN(Z40-AJ40,MAX(0,'Start Here'!$B$10-SUM($AJ40:$AS40)-SUMPRODUCT(($Z$3:$AI$3&lt;Z$3)*($Z40:$AI40-$AJ40:$AS40))))</f>
        <v>0</v>
      </c>
      <c r="G40" s="42" t="n">
        <f aca="false">AK40+MIN(AA40-AK40,MAX(0,'Start Here'!$B$10-SUM($AJ40:$AS40)-SUMPRODUCT(($Z$3:$AI$3&lt;AA$3)*($Z40:$AI40-$AJ40:$AS40))))</f>
        <v>0</v>
      </c>
      <c r="H40" s="42" t="n">
        <f aca="false">AL40+MIN(AB40-AL40,MAX(0,'Start Here'!$B$10-SUM($AJ40:$AS40)-SUMPRODUCT(($Z$3:$AI$3&lt;AB$3)*($Z40:$AI40-$AJ40:$AS40))))</f>
        <v>0</v>
      </c>
      <c r="I40" s="42" t="n">
        <f aca="false">AM40+MIN(AC40-AM40,MAX(0,'Start Here'!$B$10-SUM($AJ40:$AS40)-SUMPRODUCT(($Z$3:$AI$3&lt;AC$3)*($Z40:$AI40-$AJ40:$AS40))))</f>
        <v>0</v>
      </c>
      <c r="J40" s="42" t="n">
        <f aca="false">AN40+MIN(AD40-AN40,MAX(0,'Start Here'!$B$10-SUM($AJ40:$AS40)-SUMPRODUCT(($Z$3:$AI$3&lt;AD$3)*($Z40:$AI40-$AJ40:$AS40))))</f>
        <v>0</v>
      </c>
      <c r="K40" s="42" t="n">
        <f aca="false">AO40+MIN(AE40-AO40,MAX(0,'Start Here'!$B$10-SUM($AJ40:$AS40)-SUMPRODUCT(($Z$3:$AI$3&lt;AE$3)*($Z40:$AI40-$AJ40:$AS40))))</f>
        <v>1220</v>
      </c>
      <c r="L40" s="42" t="n">
        <f aca="false">AP40+MIN(AF40-AP40,MAX(0,'Start Here'!$B$10-SUM($AJ40:$AS40)-SUMPRODUCT(($Z$3:$AI$3&lt;AF$3)*($Z40:$AI40-$AJ40:$AS40))))</f>
        <v>0</v>
      </c>
      <c r="M40" s="42" t="n">
        <f aca="false">AQ40+MIN(AG40-AQ40,MAX(0,'Start Here'!$B$10-SUM($AJ40:$AS40)-SUMPRODUCT(($Z$3:$AI$3&lt;AG$3)*($Z40:$AI40-$AJ40:$AS40))))</f>
        <v>0</v>
      </c>
      <c r="N40" s="42" t="n">
        <f aca="false">AR40+MIN(AH40-AR40,MAX(0,'Start Here'!$B$10-SUM($AJ40:$AS40)-SUMPRODUCT(($Z$3:$AI$3&lt;AH$3)*($Z40:$AI40-$AJ40:$AS40))))</f>
        <v>0</v>
      </c>
      <c r="O40" s="42" t="n">
        <f aca="false">AS40+MIN(AI40-AS40,MAX(0,'Start Here'!$B$10-SUM($AJ40:$AS40)-SUMPRODUCT(($Z$3:$AI$3&lt;AI$3)*($Z40:$AI40-$AJ40:$AS40))))</f>
        <v>0</v>
      </c>
      <c r="P40" s="42" t="n">
        <f aca="false">ROUND(Z40-F40,2)</f>
        <v>0</v>
      </c>
      <c r="Q40" s="42" t="n">
        <f aca="false">ROUND(AA40-G40,2)</f>
        <v>0</v>
      </c>
      <c r="R40" s="42" t="n">
        <f aca="false">ROUND(AB40-H40,2)</f>
        <v>0</v>
      </c>
      <c r="S40" s="42" t="n">
        <f aca="false">ROUND(AC40-I40,2)</f>
        <v>0</v>
      </c>
      <c r="T40" s="42" t="n">
        <f aca="false">ROUND(AD40-J40,2)</f>
        <v>0</v>
      </c>
      <c r="U40" s="42" t="n">
        <f aca="false">ROUND(AE40-K40,2)</f>
        <v>6542.17</v>
      </c>
      <c r="V40" s="42" t="n">
        <f aca="false">ROUND(AF40-L40,2)</f>
        <v>0</v>
      </c>
      <c r="W40" s="42" t="n">
        <f aca="false">ROUND(AG40-M40,2)</f>
        <v>0</v>
      </c>
      <c r="X40" s="42" t="n">
        <f aca="false">ROUND(AH40-N40,2)</f>
        <v>0</v>
      </c>
      <c r="Y40" s="42" t="n">
        <f aca="false">ROUND(AI40-O40,2)</f>
        <v>0</v>
      </c>
      <c r="Z40" s="56" t="n">
        <f aca="false">ROUND(P39*(1+N(Debts!$D$5)/12),2)</f>
        <v>0</v>
      </c>
      <c r="AA40" s="56" t="n">
        <f aca="false">ROUND(Q39*(1+N(Debts!$D$6)/12),2)</f>
        <v>0</v>
      </c>
      <c r="AB40" s="56" t="n">
        <f aca="false">ROUND(R39*(1+N(Debts!$D$7)/12),2)</f>
        <v>0</v>
      </c>
      <c r="AC40" s="56" t="n">
        <f aca="false">ROUND(S39*(1+N(Debts!$D$8)/12),2)</f>
        <v>0</v>
      </c>
      <c r="AD40" s="56" t="n">
        <f aca="false">ROUND(T39*(1+N(Debts!$D$9)/12),2)</f>
        <v>0</v>
      </c>
      <c r="AE40" s="56" t="n">
        <f aca="false">ROUND(U39*(1+N(Debts!$D$10)/12),2)</f>
        <v>7762.17</v>
      </c>
      <c r="AF40" s="56" t="n">
        <f aca="false">ROUND(V39*(1+N(Debts!$D$11)/12),2)</f>
        <v>0</v>
      </c>
      <c r="AG40" s="56" t="n">
        <f aca="false">ROUND(W39*(1+N(Debts!$D$12)/12),2)</f>
        <v>0</v>
      </c>
      <c r="AH40" s="56" t="n">
        <f aca="false">ROUND(X39*(1+N(Debts!$D$13)/12),2)</f>
        <v>0</v>
      </c>
      <c r="AI40" s="56" t="n">
        <f aca="false">ROUND(Y39*(1+N(Debts!$D$14)/12),2)</f>
        <v>0</v>
      </c>
      <c r="AJ40" s="56" t="n">
        <f aca="false">MIN(Z40,MAX(0,N(Debts!$E$5)))</f>
        <v>0</v>
      </c>
      <c r="AK40" s="56" t="n">
        <f aca="false">MIN(AA40,MAX(0,N(Debts!$E$6)))</f>
        <v>0</v>
      </c>
      <c r="AL40" s="56" t="n">
        <f aca="false">MIN(AB40,MAX(0,N(Debts!$E$7)))</f>
        <v>0</v>
      </c>
      <c r="AM40" s="56" t="n">
        <f aca="false">MIN(AC40,MAX(0,N(Debts!$E$8)))</f>
        <v>0</v>
      </c>
      <c r="AN40" s="56" t="n">
        <f aca="false">MIN(AD40,MAX(0,N(Debts!$E$9)))</f>
        <v>0</v>
      </c>
      <c r="AO40" s="56" t="n">
        <f aca="false">MIN(AE40,MAX(0,N(Debts!$E$10)))</f>
        <v>210</v>
      </c>
      <c r="AP40" s="56" t="n">
        <f aca="false">MIN(AF40,MAX(0,N(Debts!$E$11)))</f>
        <v>0</v>
      </c>
      <c r="AQ40" s="56" t="n">
        <f aca="false">MIN(AG40,MAX(0,N(Debts!$E$12)))</f>
        <v>0</v>
      </c>
      <c r="AR40" s="56" t="n">
        <f aca="false">MIN(AH40,MAX(0,N(Debts!$E$13)))</f>
        <v>0</v>
      </c>
      <c r="AS40" s="56" t="n">
        <f aca="false">MIN(AI40,MAX(0,N(Debts!$E$14)))</f>
        <v>0</v>
      </c>
    </row>
    <row r="41" customFormat="false" ht="15" hidden="false" customHeight="false" outlineLevel="0" collapsed="false">
      <c r="A41" s="53" t="n">
        <v>37</v>
      </c>
      <c r="B41" s="54" t="n">
        <f aca="false">EDATE('Start Here'!$B$8,36)</f>
        <v>47423</v>
      </c>
      <c r="C41" s="42" t="n">
        <f aca="false">SUM(F41:O41)</f>
        <v>1220</v>
      </c>
      <c r="D41" s="42" t="n">
        <f aca="false">ROUND(SUM($Z41:$AI41)-SUM(P40:Y40),2)</f>
        <v>29.98</v>
      </c>
      <c r="E41" s="55" t="n">
        <f aca="false">SUM(P41:Y41)</f>
        <v>5352.15</v>
      </c>
      <c r="F41" s="42" t="n">
        <f aca="false">AJ41+MIN(Z41-AJ41,MAX(0,'Start Here'!$B$10-SUM($AJ41:$AS41)-SUMPRODUCT(($Z$3:$AI$3&lt;Z$3)*($Z41:$AI41-$AJ41:$AS41))))</f>
        <v>0</v>
      </c>
      <c r="G41" s="42" t="n">
        <f aca="false">AK41+MIN(AA41-AK41,MAX(0,'Start Here'!$B$10-SUM($AJ41:$AS41)-SUMPRODUCT(($Z$3:$AI$3&lt;AA$3)*($Z41:$AI41-$AJ41:$AS41))))</f>
        <v>0</v>
      </c>
      <c r="H41" s="42" t="n">
        <f aca="false">AL41+MIN(AB41-AL41,MAX(0,'Start Here'!$B$10-SUM($AJ41:$AS41)-SUMPRODUCT(($Z$3:$AI$3&lt;AB$3)*($Z41:$AI41-$AJ41:$AS41))))</f>
        <v>0</v>
      </c>
      <c r="I41" s="42" t="n">
        <f aca="false">AM41+MIN(AC41-AM41,MAX(0,'Start Here'!$B$10-SUM($AJ41:$AS41)-SUMPRODUCT(($Z$3:$AI$3&lt;AC$3)*($Z41:$AI41-$AJ41:$AS41))))</f>
        <v>0</v>
      </c>
      <c r="J41" s="42" t="n">
        <f aca="false">AN41+MIN(AD41-AN41,MAX(0,'Start Here'!$B$10-SUM($AJ41:$AS41)-SUMPRODUCT(($Z$3:$AI$3&lt;AD$3)*($Z41:$AI41-$AJ41:$AS41))))</f>
        <v>0</v>
      </c>
      <c r="K41" s="42" t="n">
        <f aca="false">AO41+MIN(AE41-AO41,MAX(0,'Start Here'!$B$10-SUM($AJ41:$AS41)-SUMPRODUCT(($Z$3:$AI$3&lt;AE$3)*($Z41:$AI41-$AJ41:$AS41))))</f>
        <v>1220</v>
      </c>
      <c r="L41" s="42" t="n">
        <f aca="false">AP41+MIN(AF41-AP41,MAX(0,'Start Here'!$B$10-SUM($AJ41:$AS41)-SUMPRODUCT(($Z$3:$AI$3&lt;AF$3)*($Z41:$AI41-$AJ41:$AS41))))</f>
        <v>0</v>
      </c>
      <c r="M41" s="42" t="n">
        <f aca="false">AQ41+MIN(AG41-AQ41,MAX(0,'Start Here'!$B$10-SUM($AJ41:$AS41)-SUMPRODUCT(($Z$3:$AI$3&lt;AG$3)*($Z41:$AI41-$AJ41:$AS41))))</f>
        <v>0</v>
      </c>
      <c r="N41" s="42" t="n">
        <f aca="false">AR41+MIN(AH41-AR41,MAX(0,'Start Here'!$B$10-SUM($AJ41:$AS41)-SUMPRODUCT(($Z$3:$AI$3&lt;AH$3)*($Z41:$AI41-$AJ41:$AS41))))</f>
        <v>0</v>
      </c>
      <c r="O41" s="42" t="n">
        <f aca="false">AS41+MIN(AI41-AS41,MAX(0,'Start Here'!$B$10-SUM($AJ41:$AS41)-SUMPRODUCT(($Z$3:$AI$3&lt;AI$3)*($Z41:$AI41-$AJ41:$AS41))))</f>
        <v>0</v>
      </c>
      <c r="P41" s="42" t="n">
        <f aca="false">ROUND(Z41-F41,2)</f>
        <v>0</v>
      </c>
      <c r="Q41" s="42" t="n">
        <f aca="false">ROUND(AA41-G41,2)</f>
        <v>0</v>
      </c>
      <c r="R41" s="42" t="n">
        <f aca="false">ROUND(AB41-H41,2)</f>
        <v>0</v>
      </c>
      <c r="S41" s="42" t="n">
        <f aca="false">ROUND(AC41-I41,2)</f>
        <v>0</v>
      </c>
      <c r="T41" s="42" t="n">
        <f aca="false">ROUND(AD41-J41,2)</f>
        <v>0</v>
      </c>
      <c r="U41" s="42" t="n">
        <f aca="false">ROUND(AE41-K41,2)</f>
        <v>5352.15</v>
      </c>
      <c r="V41" s="42" t="n">
        <f aca="false">ROUND(AF41-L41,2)</f>
        <v>0</v>
      </c>
      <c r="W41" s="42" t="n">
        <f aca="false">ROUND(AG41-M41,2)</f>
        <v>0</v>
      </c>
      <c r="X41" s="42" t="n">
        <f aca="false">ROUND(AH41-N41,2)</f>
        <v>0</v>
      </c>
      <c r="Y41" s="42" t="n">
        <f aca="false">ROUND(AI41-O41,2)</f>
        <v>0</v>
      </c>
      <c r="Z41" s="56" t="n">
        <f aca="false">ROUND(P40*(1+N(Debts!$D$5)/12),2)</f>
        <v>0</v>
      </c>
      <c r="AA41" s="56" t="n">
        <f aca="false">ROUND(Q40*(1+N(Debts!$D$6)/12),2)</f>
        <v>0</v>
      </c>
      <c r="AB41" s="56" t="n">
        <f aca="false">ROUND(R40*(1+N(Debts!$D$7)/12),2)</f>
        <v>0</v>
      </c>
      <c r="AC41" s="56" t="n">
        <f aca="false">ROUND(S40*(1+N(Debts!$D$8)/12),2)</f>
        <v>0</v>
      </c>
      <c r="AD41" s="56" t="n">
        <f aca="false">ROUND(T40*(1+N(Debts!$D$9)/12),2)</f>
        <v>0</v>
      </c>
      <c r="AE41" s="56" t="n">
        <f aca="false">ROUND(U40*(1+N(Debts!$D$10)/12),2)</f>
        <v>6572.15</v>
      </c>
      <c r="AF41" s="56" t="n">
        <f aca="false">ROUND(V40*(1+N(Debts!$D$11)/12),2)</f>
        <v>0</v>
      </c>
      <c r="AG41" s="56" t="n">
        <f aca="false">ROUND(W40*(1+N(Debts!$D$12)/12),2)</f>
        <v>0</v>
      </c>
      <c r="AH41" s="56" t="n">
        <f aca="false">ROUND(X40*(1+N(Debts!$D$13)/12),2)</f>
        <v>0</v>
      </c>
      <c r="AI41" s="56" t="n">
        <f aca="false">ROUND(Y40*(1+N(Debts!$D$14)/12),2)</f>
        <v>0</v>
      </c>
      <c r="AJ41" s="56" t="n">
        <f aca="false">MIN(Z41,MAX(0,N(Debts!$E$5)))</f>
        <v>0</v>
      </c>
      <c r="AK41" s="56" t="n">
        <f aca="false">MIN(AA41,MAX(0,N(Debts!$E$6)))</f>
        <v>0</v>
      </c>
      <c r="AL41" s="56" t="n">
        <f aca="false">MIN(AB41,MAX(0,N(Debts!$E$7)))</f>
        <v>0</v>
      </c>
      <c r="AM41" s="56" t="n">
        <f aca="false">MIN(AC41,MAX(0,N(Debts!$E$8)))</f>
        <v>0</v>
      </c>
      <c r="AN41" s="56" t="n">
        <f aca="false">MIN(AD41,MAX(0,N(Debts!$E$9)))</f>
        <v>0</v>
      </c>
      <c r="AO41" s="56" t="n">
        <f aca="false">MIN(AE41,MAX(0,N(Debts!$E$10)))</f>
        <v>210</v>
      </c>
      <c r="AP41" s="56" t="n">
        <f aca="false">MIN(AF41,MAX(0,N(Debts!$E$11)))</f>
        <v>0</v>
      </c>
      <c r="AQ41" s="56" t="n">
        <f aca="false">MIN(AG41,MAX(0,N(Debts!$E$12)))</f>
        <v>0</v>
      </c>
      <c r="AR41" s="56" t="n">
        <f aca="false">MIN(AH41,MAX(0,N(Debts!$E$13)))</f>
        <v>0</v>
      </c>
      <c r="AS41" s="56" t="n">
        <f aca="false">MIN(AI41,MAX(0,N(Debts!$E$14)))</f>
        <v>0</v>
      </c>
    </row>
    <row r="42" customFormat="false" ht="15" hidden="false" customHeight="false" outlineLevel="0" collapsed="false">
      <c r="A42" s="53" t="n">
        <v>38</v>
      </c>
      <c r="B42" s="54" t="n">
        <f aca="false">EDATE('Start Here'!$B$8,37)</f>
        <v>47453</v>
      </c>
      <c r="C42" s="42" t="n">
        <f aca="false">SUM(F42:O42)</f>
        <v>1220</v>
      </c>
      <c r="D42" s="42" t="n">
        <f aca="false">ROUND(SUM($Z42:$AI42)-SUM(P41:Y41),2)</f>
        <v>24.53</v>
      </c>
      <c r="E42" s="55" t="n">
        <f aca="false">SUM(P42:Y42)</f>
        <v>4156.68</v>
      </c>
      <c r="F42" s="42" t="n">
        <f aca="false">AJ42+MIN(Z42-AJ42,MAX(0,'Start Here'!$B$10-SUM($AJ42:$AS42)-SUMPRODUCT(($Z$3:$AI$3&lt;Z$3)*($Z42:$AI42-$AJ42:$AS42))))</f>
        <v>0</v>
      </c>
      <c r="G42" s="42" t="n">
        <f aca="false">AK42+MIN(AA42-AK42,MAX(0,'Start Here'!$B$10-SUM($AJ42:$AS42)-SUMPRODUCT(($Z$3:$AI$3&lt;AA$3)*($Z42:$AI42-$AJ42:$AS42))))</f>
        <v>0</v>
      </c>
      <c r="H42" s="42" t="n">
        <f aca="false">AL42+MIN(AB42-AL42,MAX(0,'Start Here'!$B$10-SUM($AJ42:$AS42)-SUMPRODUCT(($Z$3:$AI$3&lt;AB$3)*($Z42:$AI42-$AJ42:$AS42))))</f>
        <v>0</v>
      </c>
      <c r="I42" s="42" t="n">
        <f aca="false">AM42+MIN(AC42-AM42,MAX(0,'Start Here'!$B$10-SUM($AJ42:$AS42)-SUMPRODUCT(($Z$3:$AI$3&lt;AC$3)*($Z42:$AI42-$AJ42:$AS42))))</f>
        <v>0</v>
      </c>
      <c r="J42" s="42" t="n">
        <f aca="false">AN42+MIN(AD42-AN42,MAX(0,'Start Here'!$B$10-SUM($AJ42:$AS42)-SUMPRODUCT(($Z$3:$AI$3&lt;AD$3)*($Z42:$AI42-$AJ42:$AS42))))</f>
        <v>0</v>
      </c>
      <c r="K42" s="42" t="n">
        <f aca="false">AO42+MIN(AE42-AO42,MAX(0,'Start Here'!$B$10-SUM($AJ42:$AS42)-SUMPRODUCT(($Z$3:$AI$3&lt;AE$3)*($Z42:$AI42-$AJ42:$AS42))))</f>
        <v>1220</v>
      </c>
      <c r="L42" s="42" t="n">
        <f aca="false">AP42+MIN(AF42-AP42,MAX(0,'Start Here'!$B$10-SUM($AJ42:$AS42)-SUMPRODUCT(($Z$3:$AI$3&lt;AF$3)*($Z42:$AI42-$AJ42:$AS42))))</f>
        <v>0</v>
      </c>
      <c r="M42" s="42" t="n">
        <f aca="false">AQ42+MIN(AG42-AQ42,MAX(0,'Start Here'!$B$10-SUM($AJ42:$AS42)-SUMPRODUCT(($Z$3:$AI$3&lt;AG$3)*($Z42:$AI42-$AJ42:$AS42))))</f>
        <v>0</v>
      </c>
      <c r="N42" s="42" t="n">
        <f aca="false">AR42+MIN(AH42-AR42,MAX(0,'Start Here'!$B$10-SUM($AJ42:$AS42)-SUMPRODUCT(($Z$3:$AI$3&lt;AH$3)*($Z42:$AI42-$AJ42:$AS42))))</f>
        <v>0</v>
      </c>
      <c r="O42" s="42" t="n">
        <f aca="false">AS42+MIN(AI42-AS42,MAX(0,'Start Here'!$B$10-SUM($AJ42:$AS42)-SUMPRODUCT(($Z$3:$AI$3&lt;AI$3)*($Z42:$AI42-$AJ42:$AS42))))</f>
        <v>0</v>
      </c>
      <c r="P42" s="42" t="n">
        <f aca="false">ROUND(Z42-F42,2)</f>
        <v>0</v>
      </c>
      <c r="Q42" s="42" t="n">
        <f aca="false">ROUND(AA42-G42,2)</f>
        <v>0</v>
      </c>
      <c r="R42" s="42" t="n">
        <f aca="false">ROUND(AB42-H42,2)</f>
        <v>0</v>
      </c>
      <c r="S42" s="42" t="n">
        <f aca="false">ROUND(AC42-I42,2)</f>
        <v>0</v>
      </c>
      <c r="T42" s="42" t="n">
        <f aca="false">ROUND(AD42-J42,2)</f>
        <v>0</v>
      </c>
      <c r="U42" s="42" t="n">
        <f aca="false">ROUND(AE42-K42,2)</f>
        <v>4156.68</v>
      </c>
      <c r="V42" s="42" t="n">
        <f aca="false">ROUND(AF42-L42,2)</f>
        <v>0</v>
      </c>
      <c r="W42" s="42" t="n">
        <f aca="false">ROUND(AG42-M42,2)</f>
        <v>0</v>
      </c>
      <c r="X42" s="42" t="n">
        <f aca="false">ROUND(AH42-N42,2)</f>
        <v>0</v>
      </c>
      <c r="Y42" s="42" t="n">
        <f aca="false">ROUND(AI42-O42,2)</f>
        <v>0</v>
      </c>
      <c r="Z42" s="56" t="n">
        <f aca="false">ROUND(P41*(1+N(Debts!$D$5)/12),2)</f>
        <v>0</v>
      </c>
      <c r="AA42" s="56" t="n">
        <f aca="false">ROUND(Q41*(1+N(Debts!$D$6)/12),2)</f>
        <v>0</v>
      </c>
      <c r="AB42" s="56" t="n">
        <f aca="false">ROUND(R41*(1+N(Debts!$D$7)/12),2)</f>
        <v>0</v>
      </c>
      <c r="AC42" s="56" t="n">
        <f aca="false">ROUND(S41*(1+N(Debts!$D$8)/12),2)</f>
        <v>0</v>
      </c>
      <c r="AD42" s="56" t="n">
        <f aca="false">ROUND(T41*(1+N(Debts!$D$9)/12),2)</f>
        <v>0</v>
      </c>
      <c r="AE42" s="56" t="n">
        <f aca="false">ROUND(U41*(1+N(Debts!$D$10)/12),2)</f>
        <v>5376.68</v>
      </c>
      <c r="AF42" s="56" t="n">
        <f aca="false">ROUND(V41*(1+N(Debts!$D$11)/12),2)</f>
        <v>0</v>
      </c>
      <c r="AG42" s="56" t="n">
        <f aca="false">ROUND(W41*(1+N(Debts!$D$12)/12),2)</f>
        <v>0</v>
      </c>
      <c r="AH42" s="56" t="n">
        <f aca="false">ROUND(X41*(1+N(Debts!$D$13)/12),2)</f>
        <v>0</v>
      </c>
      <c r="AI42" s="56" t="n">
        <f aca="false">ROUND(Y41*(1+N(Debts!$D$14)/12),2)</f>
        <v>0</v>
      </c>
      <c r="AJ42" s="56" t="n">
        <f aca="false">MIN(Z42,MAX(0,N(Debts!$E$5)))</f>
        <v>0</v>
      </c>
      <c r="AK42" s="56" t="n">
        <f aca="false">MIN(AA42,MAX(0,N(Debts!$E$6)))</f>
        <v>0</v>
      </c>
      <c r="AL42" s="56" t="n">
        <f aca="false">MIN(AB42,MAX(0,N(Debts!$E$7)))</f>
        <v>0</v>
      </c>
      <c r="AM42" s="56" t="n">
        <f aca="false">MIN(AC42,MAX(0,N(Debts!$E$8)))</f>
        <v>0</v>
      </c>
      <c r="AN42" s="56" t="n">
        <f aca="false">MIN(AD42,MAX(0,N(Debts!$E$9)))</f>
        <v>0</v>
      </c>
      <c r="AO42" s="56" t="n">
        <f aca="false">MIN(AE42,MAX(0,N(Debts!$E$10)))</f>
        <v>210</v>
      </c>
      <c r="AP42" s="56" t="n">
        <f aca="false">MIN(AF42,MAX(0,N(Debts!$E$11)))</f>
        <v>0</v>
      </c>
      <c r="AQ42" s="56" t="n">
        <f aca="false">MIN(AG42,MAX(0,N(Debts!$E$12)))</f>
        <v>0</v>
      </c>
      <c r="AR42" s="56" t="n">
        <f aca="false">MIN(AH42,MAX(0,N(Debts!$E$13)))</f>
        <v>0</v>
      </c>
      <c r="AS42" s="56" t="n">
        <f aca="false">MIN(AI42,MAX(0,N(Debts!$E$14)))</f>
        <v>0</v>
      </c>
    </row>
    <row r="43" customFormat="false" ht="15" hidden="false" customHeight="false" outlineLevel="0" collapsed="false">
      <c r="A43" s="53" t="n">
        <v>39</v>
      </c>
      <c r="B43" s="54" t="n">
        <f aca="false">EDATE('Start Here'!$B$8,38)</f>
        <v>47484</v>
      </c>
      <c r="C43" s="42" t="n">
        <f aca="false">SUM(F43:O43)</f>
        <v>1220</v>
      </c>
      <c r="D43" s="42" t="n">
        <f aca="false">ROUND(SUM($Z43:$AI43)-SUM(P42:Y42),2)</f>
        <v>19.05</v>
      </c>
      <c r="E43" s="55" t="n">
        <f aca="false">SUM(P43:Y43)</f>
        <v>2955.73</v>
      </c>
      <c r="F43" s="42" t="n">
        <f aca="false">AJ43+MIN(Z43-AJ43,MAX(0,'Start Here'!$B$10-SUM($AJ43:$AS43)-SUMPRODUCT(($Z$3:$AI$3&lt;Z$3)*($Z43:$AI43-$AJ43:$AS43))))</f>
        <v>0</v>
      </c>
      <c r="G43" s="42" t="n">
        <f aca="false">AK43+MIN(AA43-AK43,MAX(0,'Start Here'!$B$10-SUM($AJ43:$AS43)-SUMPRODUCT(($Z$3:$AI$3&lt;AA$3)*($Z43:$AI43-$AJ43:$AS43))))</f>
        <v>0</v>
      </c>
      <c r="H43" s="42" t="n">
        <f aca="false">AL43+MIN(AB43-AL43,MAX(0,'Start Here'!$B$10-SUM($AJ43:$AS43)-SUMPRODUCT(($Z$3:$AI$3&lt;AB$3)*($Z43:$AI43-$AJ43:$AS43))))</f>
        <v>0</v>
      </c>
      <c r="I43" s="42" t="n">
        <f aca="false">AM43+MIN(AC43-AM43,MAX(0,'Start Here'!$B$10-SUM($AJ43:$AS43)-SUMPRODUCT(($Z$3:$AI$3&lt;AC$3)*($Z43:$AI43-$AJ43:$AS43))))</f>
        <v>0</v>
      </c>
      <c r="J43" s="42" t="n">
        <f aca="false">AN43+MIN(AD43-AN43,MAX(0,'Start Here'!$B$10-SUM($AJ43:$AS43)-SUMPRODUCT(($Z$3:$AI$3&lt;AD$3)*($Z43:$AI43-$AJ43:$AS43))))</f>
        <v>0</v>
      </c>
      <c r="K43" s="42" t="n">
        <f aca="false">AO43+MIN(AE43-AO43,MAX(0,'Start Here'!$B$10-SUM($AJ43:$AS43)-SUMPRODUCT(($Z$3:$AI$3&lt;AE$3)*($Z43:$AI43-$AJ43:$AS43))))</f>
        <v>1220</v>
      </c>
      <c r="L43" s="42" t="n">
        <f aca="false">AP43+MIN(AF43-AP43,MAX(0,'Start Here'!$B$10-SUM($AJ43:$AS43)-SUMPRODUCT(($Z$3:$AI$3&lt;AF$3)*($Z43:$AI43-$AJ43:$AS43))))</f>
        <v>0</v>
      </c>
      <c r="M43" s="42" t="n">
        <f aca="false">AQ43+MIN(AG43-AQ43,MAX(0,'Start Here'!$B$10-SUM($AJ43:$AS43)-SUMPRODUCT(($Z$3:$AI$3&lt;AG$3)*($Z43:$AI43-$AJ43:$AS43))))</f>
        <v>0</v>
      </c>
      <c r="N43" s="42" t="n">
        <f aca="false">AR43+MIN(AH43-AR43,MAX(0,'Start Here'!$B$10-SUM($AJ43:$AS43)-SUMPRODUCT(($Z$3:$AI$3&lt;AH$3)*($Z43:$AI43-$AJ43:$AS43))))</f>
        <v>0</v>
      </c>
      <c r="O43" s="42" t="n">
        <f aca="false">AS43+MIN(AI43-AS43,MAX(0,'Start Here'!$B$10-SUM($AJ43:$AS43)-SUMPRODUCT(($Z$3:$AI$3&lt;AI$3)*($Z43:$AI43-$AJ43:$AS43))))</f>
        <v>0</v>
      </c>
      <c r="P43" s="42" t="n">
        <f aca="false">ROUND(Z43-F43,2)</f>
        <v>0</v>
      </c>
      <c r="Q43" s="42" t="n">
        <f aca="false">ROUND(AA43-G43,2)</f>
        <v>0</v>
      </c>
      <c r="R43" s="42" t="n">
        <f aca="false">ROUND(AB43-H43,2)</f>
        <v>0</v>
      </c>
      <c r="S43" s="42" t="n">
        <f aca="false">ROUND(AC43-I43,2)</f>
        <v>0</v>
      </c>
      <c r="T43" s="42" t="n">
        <f aca="false">ROUND(AD43-J43,2)</f>
        <v>0</v>
      </c>
      <c r="U43" s="42" t="n">
        <f aca="false">ROUND(AE43-K43,2)</f>
        <v>2955.73</v>
      </c>
      <c r="V43" s="42" t="n">
        <f aca="false">ROUND(AF43-L43,2)</f>
        <v>0</v>
      </c>
      <c r="W43" s="42" t="n">
        <f aca="false">ROUND(AG43-M43,2)</f>
        <v>0</v>
      </c>
      <c r="X43" s="42" t="n">
        <f aca="false">ROUND(AH43-N43,2)</f>
        <v>0</v>
      </c>
      <c r="Y43" s="42" t="n">
        <f aca="false">ROUND(AI43-O43,2)</f>
        <v>0</v>
      </c>
      <c r="Z43" s="56" t="n">
        <f aca="false">ROUND(P42*(1+N(Debts!$D$5)/12),2)</f>
        <v>0</v>
      </c>
      <c r="AA43" s="56" t="n">
        <f aca="false">ROUND(Q42*(1+N(Debts!$D$6)/12),2)</f>
        <v>0</v>
      </c>
      <c r="AB43" s="56" t="n">
        <f aca="false">ROUND(R42*(1+N(Debts!$D$7)/12),2)</f>
        <v>0</v>
      </c>
      <c r="AC43" s="56" t="n">
        <f aca="false">ROUND(S42*(1+N(Debts!$D$8)/12),2)</f>
        <v>0</v>
      </c>
      <c r="AD43" s="56" t="n">
        <f aca="false">ROUND(T42*(1+N(Debts!$D$9)/12),2)</f>
        <v>0</v>
      </c>
      <c r="AE43" s="56" t="n">
        <f aca="false">ROUND(U42*(1+N(Debts!$D$10)/12),2)</f>
        <v>4175.73</v>
      </c>
      <c r="AF43" s="56" t="n">
        <f aca="false">ROUND(V42*(1+N(Debts!$D$11)/12),2)</f>
        <v>0</v>
      </c>
      <c r="AG43" s="56" t="n">
        <f aca="false">ROUND(W42*(1+N(Debts!$D$12)/12),2)</f>
        <v>0</v>
      </c>
      <c r="AH43" s="56" t="n">
        <f aca="false">ROUND(X42*(1+N(Debts!$D$13)/12),2)</f>
        <v>0</v>
      </c>
      <c r="AI43" s="56" t="n">
        <f aca="false">ROUND(Y42*(1+N(Debts!$D$14)/12),2)</f>
        <v>0</v>
      </c>
      <c r="AJ43" s="56" t="n">
        <f aca="false">MIN(Z43,MAX(0,N(Debts!$E$5)))</f>
        <v>0</v>
      </c>
      <c r="AK43" s="56" t="n">
        <f aca="false">MIN(AA43,MAX(0,N(Debts!$E$6)))</f>
        <v>0</v>
      </c>
      <c r="AL43" s="56" t="n">
        <f aca="false">MIN(AB43,MAX(0,N(Debts!$E$7)))</f>
        <v>0</v>
      </c>
      <c r="AM43" s="56" t="n">
        <f aca="false">MIN(AC43,MAX(0,N(Debts!$E$8)))</f>
        <v>0</v>
      </c>
      <c r="AN43" s="56" t="n">
        <f aca="false">MIN(AD43,MAX(0,N(Debts!$E$9)))</f>
        <v>0</v>
      </c>
      <c r="AO43" s="56" t="n">
        <f aca="false">MIN(AE43,MAX(0,N(Debts!$E$10)))</f>
        <v>210</v>
      </c>
      <c r="AP43" s="56" t="n">
        <f aca="false">MIN(AF43,MAX(0,N(Debts!$E$11)))</f>
        <v>0</v>
      </c>
      <c r="AQ43" s="56" t="n">
        <f aca="false">MIN(AG43,MAX(0,N(Debts!$E$12)))</f>
        <v>0</v>
      </c>
      <c r="AR43" s="56" t="n">
        <f aca="false">MIN(AH43,MAX(0,N(Debts!$E$13)))</f>
        <v>0</v>
      </c>
      <c r="AS43" s="56" t="n">
        <f aca="false">MIN(AI43,MAX(0,N(Debts!$E$14)))</f>
        <v>0</v>
      </c>
    </row>
    <row r="44" customFormat="false" ht="15" hidden="false" customHeight="false" outlineLevel="0" collapsed="false">
      <c r="A44" s="53" t="n">
        <v>40</v>
      </c>
      <c r="B44" s="54" t="n">
        <f aca="false">EDATE('Start Here'!$B$8,39)</f>
        <v>47515</v>
      </c>
      <c r="C44" s="42" t="n">
        <f aca="false">SUM(F44:O44)</f>
        <v>1220</v>
      </c>
      <c r="D44" s="42" t="n">
        <f aca="false">ROUND(SUM($Z44:$AI44)-SUM(P43:Y43),2)</f>
        <v>13.55</v>
      </c>
      <c r="E44" s="55" t="n">
        <f aca="false">SUM(P44:Y44)</f>
        <v>1749.28</v>
      </c>
      <c r="F44" s="42" t="n">
        <f aca="false">AJ44+MIN(Z44-AJ44,MAX(0,'Start Here'!$B$10-SUM($AJ44:$AS44)-SUMPRODUCT(($Z$3:$AI$3&lt;Z$3)*($Z44:$AI44-$AJ44:$AS44))))</f>
        <v>0</v>
      </c>
      <c r="G44" s="42" t="n">
        <f aca="false">AK44+MIN(AA44-AK44,MAX(0,'Start Here'!$B$10-SUM($AJ44:$AS44)-SUMPRODUCT(($Z$3:$AI$3&lt;AA$3)*($Z44:$AI44-$AJ44:$AS44))))</f>
        <v>0</v>
      </c>
      <c r="H44" s="42" t="n">
        <f aca="false">AL44+MIN(AB44-AL44,MAX(0,'Start Here'!$B$10-SUM($AJ44:$AS44)-SUMPRODUCT(($Z$3:$AI$3&lt;AB$3)*($Z44:$AI44-$AJ44:$AS44))))</f>
        <v>0</v>
      </c>
      <c r="I44" s="42" t="n">
        <f aca="false">AM44+MIN(AC44-AM44,MAX(0,'Start Here'!$B$10-SUM($AJ44:$AS44)-SUMPRODUCT(($Z$3:$AI$3&lt;AC$3)*($Z44:$AI44-$AJ44:$AS44))))</f>
        <v>0</v>
      </c>
      <c r="J44" s="42" t="n">
        <f aca="false">AN44+MIN(AD44-AN44,MAX(0,'Start Here'!$B$10-SUM($AJ44:$AS44)-SUMPRODUCT(($Z$3:$AI$3&lt;AD$3)*($Z44:$AI44-$AJ44:$AS44))))</f>
        <v>0</v>
      </c>
      <c r="K44" s="42" t="n">
        <f aca="false">AO44+MIN(AE44-AO44,MAX(0,'Start Here'!$B$10-SUM($AJ44:$AS44)-SUMPRODUCT(($Z$3:$AI$3&lt;AE$3)*($Z44:$AI44-$AJ44:$AS44))))</f>
        <v>1220</v>
      </c>
      <c r="L44" s="42" t="n">
        <f aca="false">AP44+MIN(AF44-AP44,MAX(0,'Start Here'!$B$10-SUM($AJ44:$AS44)-SUMPRODUCT(($Z$3:$AI$3&lt;AF$3)*($Z44:$AI44-$AJ44:$AS44))))</f>
        <v>0</v>
      </c>
      <c r="M44" s="42" t="n">
        <f aca="false">AQ44+MIN(AG44-AQ44,MAX(0,'Start Here'!$B$10-SUM($AJ44:$AS44)-SUMPRODUCT(($Z$3:$AI$3&lt;AG$3)*($Z44:$AI44-$AJ44:$AS44))))</f>
        <v>0</v>
      </c>
      <c r="N44" s="42" t="n">
        <f aca="false">AR44+MIN(AH44-AR44,MAX(0,'Start Here'!$B$10-SUM($AJ44:$AS44)-SUMPRODUCT(($Z$3:$AI$3&lt;AH$3)*($Z44:$AI44-$AJ44:$AS44))))</f>
        <v>0</v>
      </c>
      <c r="O44" s="42" t="n">
        <f aca="false">AS44+MIN(AI44-AS44,MAX(0,'Start Here'!$B$10-SUM($AJ44:$AS44)-SUMPRODUCT(($Z$3:$AI$3&lt;AI$3)*($Z44:$AI44-$AJ44:$AS44))))</f>
        <v>0</v>
      </c>
      <c r="P44" s="42" t="n">
        <f aca="false">ROUND(Z44-F44,2)</f>
        <v>0</v>
      </c>
      <c r="Q44" s="42" t="n">
        <f aca="false">ROUND(AA44-G44,2)</f>
        <v>0</v>
      </c>
      <c r="R44" s="42" t="n">
        <f aca="false">ROUND(AB44-H44,2)</f>
        <v>0</v>
      </c>
      <c r="S44" s="42" t="n">
        <f aca="false">ROUND(AC44-I44,2)</f>
        <v>0</v>
      </c>
      <c r="T44" s="42" t="n">
        <f aca="false">ROUND(AD44-J44,2)</f>
        <v>0</v>
      </c>
      <c r="U44" s="42" t="n">
        <f aca="false">ROUND(AE44-K44,2)</f>
        <v>1749.28</v>
      </c>
      <c r="V44" s="42" t="n">
        <f aca="false">ROUND(AF44-L44,2)</f>
        <v>0</v>
      </c>
      <c r="W44" s="42" t="n">
        <f aca="false">ROUND(AG44-M44,2)</f>
        <v>0</v>
      </c>
      <c r="X44" s="42" t="n">
        <f aca="false">ROUND(AH44-N44,2)</f>
        <v>0</v>
      </c>
      <c r="Y44" s="42" t="n">
        <f aca="false">ROUND(AI44-O44,2)</f>
        <v>0</v>
      </c>
      <c r="Z44" s="56" t="n">
        <f aca="false">ROUND(P43*(1+N(Debts!$D$5)/12),2)</f>
        <v>0</v>
      </c>
      <c r="AA44" s="56" t="n">
        <f aca="false">ROUND(Q43*(1+N(Debts!$D$6)/12),2)</f>
        <v>0</v>
      </c>
      <c r="AB44" s="56" t="n">
        <f aca="false">ROUND(R43*(1+N(Debts!$D$7)/12),2)</f>
        <v>0</v>
      </c>
      <c r="AC44" s="56" t="n">
        <f aca="false">ROUND(S43*(1+N(Debts!$D$8)/12),2)</f>
        <v>0</v>
      </c>
      <c r="AD44" s="56" t="n">
        <f aca="false">ROUND(T43*(1+N(Debts!$D$9)/12),2)</f>
        <v>0</v>
      </c>
      <c r="AE44" s="56" t="n">
        <f aca="false">ROUND(U43*(1+N(Debts!$D$10)/12),2)</f>
        <v>2969.28</v>
      </c>
      <c r="AF44" s="56" t="n">
        <f aca="false">ROUND(V43*(1+N(Debts!$D$11)/12),2)</f>
        <v>0</v>
      </c>
      <c r="AG44" s="56" t="n">
        <f aca="false">ROUND(W43*(1+N(Debts!$D$12)/12),2)</f>
        <v>0</v>
      </c>
      <c r="AH44" s="56" t="n">
        <f aca="false">ROUND(X43*(1+N(Debts!$D$13)/12),2)</f>
        <v>0</v>
      </c>
      <c r="AI44" s="56" t="n">
        <f aca="false">ROUND(Y43*(1+N(Debts!$D$14)/12),2)</f>
        <v>0</v>
      </c>
      <c r="AJ44" s="56" t="n">
        <f aca="false">MIN(Z44,MAX(0,N(Debts!$E$5)))</f>
        <v>0</v>
      </c>
      <c r="AK44" s="56" t="n">
        <f aca="false">MIN(AA44,MAX(0,N(Debts!$E$6)))</f>
        <v>0</v>
      </c>
      <c r="AL44" s="56" t="n">
        <f aca="false">MIN(AB44,MAX(0,N(Debts!$E$7)))</f>
        <v>0</v>
      </c>
      <c r="AM44" s="56" t="n">
        <f aca="false">MIN(AC44,MAX(0,N(Debts!$E$8)))</f>
        <v>0</v>
      </c>
      <c r="AN44" s="56" t="n">
        <f aca="false">MIN(AD44,MAX(0,N(Debts!$E$9)))</f>
        <v>0</v>
      </c>
      <c r="AO44" s="56" t="n">
        <f aca="false">MIN(AE44,MAX(0,N(Debts!$E$10)))</f>
        <v>210</v>
      </c>
      <c r="AP44" s="56" t="n">
        <f aca="false">MIN(AF44,MAX(0,N(Debts!$E$11)))</f>
        <v>0</v>
      </c>
      <c r="AQ44" s="56" t="n">
        <f aca="false">MIN(AG44,MAX(0,N(Debts!$E$12)))</f>
        <v>0</v>
      </c>
      <c r="AR44" s="56" t="n">
        <f aca="false">MIN(AH44,MAX(0,N(Debts!$E$13)))</f>
        <v>0</v>
      </c>
      <c r="AS44" s="56" t="n">
        <f aca="false">MIN(AI44,MAX(0,N(Debts!$E$14)))</f>
        <v>0</v>
      </c>
    </row>
    <row r="45" customFormat="false" ht="15" hidden="false" customHeight="false" outlineLevel="0" collapsed="false">
      <c r="A45" s="53" t="n">
        <v>41</v>
      </c>
      <c r="B45" s="54" t="n">
        <f aca="false">EDATE('Start Here'!$B$8,40)</f>
        <v>47543</v>
      </c>
      <c r="C45" s="42" t="n">
        <f aca="false">SUM(F45:O45)</f>
        <v>1220</v>
      </c>
      <c r="D45" s="42" t="n">
        <f aca="false">ROUND(SUM($Z45:$AI45)-SUM(P44:Y44),2)</f>
        <v>8.02</v>
      </c>
      <c r="E45" s="55" t="n">
        <f aca="false">SUM(P45:Y45)</f>
        <v>537.3</v>
      </c>
      <c r="F45" s="42" t="n">
        <f aca="false">AJ45+MIN(Z45-AJ45,MAX(0,'Start Here'!$B$10-SUM($AJ45:$AS45)-SUMPRODUCT(($Z$3:$AI$3&lt;Z$3)*($Z45:$AI45-$AJ45:$AS45))))</f>
        <v>0</v>
      </c>
      <c r="G45" s="42" t="n">
        <f aca="false">AK45+MIN(AA45-AK45,MAX(0,'Start Here'!$B$10-SUM($AJ45:$AS45)-SUMPRODUCT(($Z$3:$AI$3&lt;AA$3)*($Z45:$AI45-$AJ45:$AS45))))</f>
        <v>0</v>
      </c>
      <c r="H45" s="42" t="n">
        <f aca="false">AL45+MIN(AB45-AL45,MAX(0,'Start Here'!$B$10-SUM($AJ45:$AS45)-SUMPRODUCT(($Z$3:$AI$3&lt;AB$3)*($Z45:$AI45-$AJ45:$AS45))))</f>
        <v>0</v>
      </c>
      <c r="I45" s="42" t="n">
        <f aca="false">AM45+MIN(AC45-AM45,MAX(0,'Start Here'!$B$10-SUM($AJ45:$AS45)-SUMPRODUCT(($Z$3:$AI$3&lt;AC$3)*($Z45:$AI45-$AJ45:$AS45))))</f>
        <v>0</v>
      </c>
      <c r="J45" s="42" t="n">
        <f aca="false">AN45+MIN(AD45-AN45,MAX(0,'Start Here'!$B$10-SUM($AJ45:$AS45)-SUMPRODUCT(($Z$3:$AI$3&lt;AD$3)*($Z45:$AI45-$AJ45:$AS45))))</f>
        <v>0</v>
      </c>
      <c r="K45" s="42" t="n">
        <f aca="false">AO45+MIN(AE45-AO45,MAX(0,'Start Here'!$B$10-SUM($AJ45:$AS45)-SUMPRODUCT(($Z$3:$AI$3&lt;AE$3)*($Z45:$AI45-$AJ45:$AS45))))</f>
        <v>1220</v>
      </c>
      <c r="L45" s="42" t="n">
        <f aca="false">AP45+MIN(AF45-AP45,MAX(0,'Start Here'!$B$10-SUM($AJ45:$AS45)-SUMPRODUCT(($Z$3:$AI$3&lt;AF$3)*($Z45:$AI45-$AJ45:$AS45))))</f>
        <v>0</v>
      </c>
      <c r="M45" s="42" t="n">
        <f aca="false">AQ45+MIN(AG45-AQ45,MAX(0,'Start Here'!$B$10-SUM($AJ45:$AS45)-SUMPRODUCT(($Z$3:$AI$3&lt;AG$3)*($Z45:$AI45-$AJ45:$AS45))))</f>
        <v>0</v>
      </c>
      <c r="N45" s="42" t="n">
        <f aca="false">AR45+MIN(AH45-AR45,MAX(0,'Start Here'!$B$10-SUM($AJ45:$AS45)-SUMPRODUCT(($Z$3:$AI$3&lt;AH$3)*($Z45:$AI45-$AJ45:$AS45))))</f>
        <v>0</v>
      </c>
      <c r="O45" s="42" t="n">
        <f aca="false">AS45+MIN(AI45-AS45,MAX(0,'Start Here'!$B$10-SUM($AJ45:$AS45)-SUMPRODUCT(($Z$3:$AI$3&lt;AI$3)*($Z45:$AI45-$AJ45:$AS45))))</f>
        <v>0</v>
      </c>
      <c r="P45" s="42" t="n">
        <f aca="false">ROUND(Z45-F45,2)</f>
        <v>0</v>
      </c>
      <c r="Q45" s="42" t="n">
        <f aca="false">ROUND(AA45-G45,2)</f>
        <v>0</v>
      </c>
      <c r="R45" s="42" t="n">
        <f aca="false">ROUND(AB45-H45,2)</f>
        <v>0</v>
      </c>
      <c r="S45" s="42" t="n">
        <f aca="false">ROUND(AC45-I45,2)</f>
        <v>0</v>
      </c>
      <c r="T45" s="42" t="n">
        <f aca="false">ROUND(AD45-J45,2)</f>
        <v>0</v>
      </c>
      <c r="U45" s="42" t="n">
        <f aca="false">ROUND(AE45-K45,2)</f>
        <v>537.3</v>
      </c>
      <c r="V45" s="42" t="n">
        <f aca="false">ROUND(AF45-L45,2)</f>
        <v>0</v>
      </c>
      <c r="W45" s="42" t="n">
        <f aca="false">ROUND(AG45-M45,2)</f>
        <v>0</v>
      </c>
      <c r="X45" s="42" t="n">
        <f aca="false">ROUND(AH45-N45,2)</f>
        <v>0</v>
      </c>
      <c r="Y45" s="42" t="n">
        <f aca="false">ROUND(AI45-O45,2)</f>
        <v>0</v>
      </c>
      <c r="Z45" s="56" t="n">
        <f aca="false">ROUND(P44*(1+N(Debts!$D$5)/12),2)</f>
        <v>0</v>
      </c>
      <c r="AA45" s="56" t="n">
        <f aca="false">ROUND(Q44*(1+N(Debts!$D$6)/12),2)</f>
        <v>0</v>
      </c>
      <c r="AB45" s="56" t="n">
        <f aca="false">ROUND(R44*(1+N(Debts!$D$7)/12),2)</f>
        <v>0</v>
      </c>
      <c r="AC45" s="56" t="n">
        <f aca="false">ROUND(S44*(1+N(Debts!$D$8)/12),2)</f>
        <v>0</v>
      </c>
      <c r="AD45" s="56" t="n">
        <f aca="false">ROUND(T44*(1+N(Debts!$D$9)/12),2)</f>
        <v>0</v>
      </c>
      <c r="AE45" s="56" t="n">
        <f aca="false">ROUND(U44*(1+N(Debts!$D$10)/12),2)</f>
        <v>1757.3</v>
      </c>
      <c r="AF45" s="56" t="n">
        <f aca="false">ROUND(V44*(1+N(Debts!$D$11)/12),2)</f>
        <v>0</v>
      </c>
      <c r="AG45" s="56" t="n">
        <f aca="false">ROUND(W44*(1+N(Debts!$D$12)/12),2)</f>
        <v>0</v>
      </c>
      <c r="AH45" s="56" t="n">
        <f aca="false">ROUND(X44*(1+N(Debts!$D$13)/12),2)</f>
        <v>0</v>
      </c>
      <c r="AI45" s="56" t="n">
        <f aca="false">ROUND(Y44*(1+N(Debts!$D$14)/12),2)</f>
        <v>0</v>
      </c>
      <c r="AJ45" s="56" t="n">
        <f aca="false">MIN(Z45,MAX(0,N(Debts!$E$5)))</f>
        <v>0</v>
      </c>
      <c r="AK45" s="56" t="n">
        <f aca="false">MIN(AA45,MAX(0,N(Debts!$E$6)))</f>
        <v>0</v>
      </c>
      <c r="AL45" s="56" t="n">
        <f aca="false">MIN(AB45,MAX(0,N(Debts!$E$7)))</f>
        <v>0</v>
      </c>
      <c r="AM45" s="56" t="n">
        <f aca="false">MIN(AC45,MAX(0,N(Debts!$E$8)))</f>
        <v>0</v>
      </c>
      <c r="AN45" s="56" t="n">
        <f aca="false">MIN(AD45,MAX(0,N(Debts!$E$9)))</f>
        <v>0</v>
      </c>
      <c r="AO45" s="56" t="n">
        <f aca="false">MIN(AE45,MAX(0,N(Debts!$E$10)))</f>
        <v>210</v>
      </c>
      <c r="AP45" s="56" t="n">
        <f aca="false">MIN(AF45,MAX(0,N(Debts!$E$11)))</f>
        <v>0</v>
      </c>
      <c r="AQ45" s="56" t="n">
        <f aca="false">MIN(AG45,MAX(0,N(Debts!$E$12)))</f>
        <v>0</v>
      </c>
      <c r="AR45" s="56" t="n">
        <f aca="false">MIN(AH45,MAX(0,N(Debts!$E$13)))</f>
        <v>0</v>
      </c>
      <c r="AS45" s="56" t="n">
        <f aca="false">MIN(AI45,MAX(0,N(Debts!$E$14)))</f>
        <v>0</v>
      </c>
    </row>
    <row r="46" customFormat="false" ht="15" hidden="false" customHeight="false" outlineLevel="0" collapsed="false">
      <c r="A46" s="53" t="n">
        <v>42</v>
      </c>
      <c r="B46" s="54" t="n">
        <f aca="false">EDATE('Start Here'!$B$8,41)</f>
        <v>47574</v>
      </c>
      <c r="C46" s="42" t="n">
        <f aca="false">SUM(F46:O46)</f>
        <v>539.76</v>
      </c>
      <c r="D46" s="42" t="n">
        <f aca="false">ROUND(SUM($Z46:$AI46)-SUM(P45:Y45),2)</f>
        <v>2.46</v>
      </c>
      <c r="E46" s="55" t="n">
        <f aca="false">SUM(P46:Y46)</f>
        <v>0</v>
      </c>
      <c r="F46" s="42" t="n">
        <f aca="false">AJ46+MIN(Z46-AJ46,MAX(0,'Start Here'!$B$10-SUM($AJ46:$AS46)-SUMPRODUCT(($Z$3:$AI$3&lt;Z$3)*($Z46:$AI46-$AJ46:$AS46))))</f>
        <v>0</v>
      </c>
      <c r="G46" s="42" t="n">
        <f aca="false">AK46+MIN(AA46-AK46,MAX(0,'Start Here'!$B$10-SUM($AJ46:$AS46)-SUMPRODUCT(($Z$3:$AI$3&lt;AA$3)*($Z46:$AI46-$AJ46:$AS46))))</f>
        <v>0</v>
      </c>
      <c r="H46" s="42" t="n">
        <f aca="false">AL46+MIN(AB46-AL46,MAX(0,'Start Here'!$B$10-SUM($AJ46:$AS46)-SUMPRODUCT(($Z$3:$AI$3&lt;AB$3)*($Z46:$AI46-$AJ46:$AS46))))</f>
        <v>0</v>
      </c>
      <c r="I46" s="42" t="n">
        <f aca="false">AM46+MIN(AC46-AM46,MAX(0,'Start Here'!$B$10-SUM($AJ46:$AS46)-SUMPRODUCT(($Z$3:$AI$3&lt;AC$3)*($Z46:$AI46-$AJ46:$AS46))))</f>
        <v>0</v>
      </c>
      <c r="J46" s="42" t="n">
        <f aca="false">AN46+MIN(AD46-AN46,MAX(0,'Start Here'!$B$10-SUM($AJ46:$AS46)-SUMPRODUCT(($Z$3:$AI$3&lt;AD$3)*($Z46:$AI46-$AJ46:$AS46))))</f>
        <v>0</v>
      </c>
      <c r="K46" s="42" t="n">
        <f aca="false">AO46+MIN(AE46-AO46,MAX(0,'Start Here'!$B$10-SUM($AJ46:$AS46)-SUMPRODUCT(($Z$3:$AI$3&lt;AE$3)*($Z46:$AI46-$AJ46:$AS46))))</f>
        <v>539.76</v>
      </c>
      <c r="L46" s="42" t="n">
        <f aca="false">AP46+MIN(AF46-AP46,MAX(0,'Start Here'!$B$10-SUM($AJ46:$AS46)-SUMPRODUCT(($Z$3:$AI$3&lt;AF$3)*($Z46:$AI46-$AJ46:$AS46))))</f>
        <v>0</v>
      </c>
      <c r="M46" s="42" t="n">
        <f aca="false">AQ46+MIN(AG46-AQ46,MAX(0,'Start Here'!$B$10-SUM($AJ46:$AS46)-SUMPRODUCT(($Z$3:$AI$3&lt;AG$3)*($Z46:$AI46-$AJ46:$AS46))))</f>
        <v>0</v>
      </c>
      <c r="N46" s="42" t="n">
        <f aca="false">AR46+MIN(AH46-AR46,MAX(0,'Start Here'!$B$10-SUM($AJ46:$AS46)-SUMPRODUCT(($Z$3:$AI$3&lt;AH$3)*($Z46:$AI46-$AJ46:$AS46))))</f>
        <v>0</v>
      </c>
      <c r="O46" s="42" t="n">
        <f aca="false">AS46+MIN(AI46-AS46,MAX(0,'Start Here'!$B$10-SUM($AJ46:$AS46)-SUMPRODUCT(($Z$3:$AI$3&lt;AI$3)*($Z46:$AI46-$AJ46:$AS46))))</f>
        <v>0</v>
      </c>
      <c r="P46" s="42" t="n">
        <f aca="false">ROUND(Z46-F46,2)</f>
        <v>0</v>
      </c>
      <c r="Q46" s="42" t="n">
        <f aca="false">ROUND(AA46-G46,2)</f>
        <v>0</v>
      </c>
      <c r="R46" s="42" t="n">
        <f aca="false">ROUND(AB46-H46,2)</f>
        <v>0</v>
      </c>
      <c r="S46" s="42" t="n">
        <f aca="false">ROUND(AC46-I46,2)</f>
        <v>0</v>
      </c>
      <c r="T46" s="42" t="n">
        <f aca="false">ROUND(AD46-J46,2)</f>
        <v>0</v>
      </c>
      <c r="U46" s="42" t="n">
        <f aca="false">ROUND(AE46-K46,2)</f>
        <v>0</v>
      </c>
      <c r="V46" s="42" t="n">
        <f aca="false">ROUND(AF46-L46,2)</f>
        <v>0</v>
      </c>
      <c r="W46" s="42" t="n">
        <f aca="false">ROUND(AG46-M46,2)</f>
        <v>0</v>
      </c>
      <c r="X46" s="42" t="n">
        <f aca="false">ROUND(AH46-N46,2)</f>
        <v>0</v>
      </c>
      <c r="Y46" s="42" t="n">
        <f aca="false">ROUND(AI46-O46,2)</f>
        <v>0</v>
      </c>
      <c r="Z46" s="56" t="n">
        <f aca="false">ROUND(P45*(1+N(Debts!$D$5)/12),2)</f>
        <v>0</v>
      </c>
      <c r="AA46" s="56" t="n">
        <f aca="false">ROUND(Q45*(1+N(Debts!$D$6)/12),2)</f>
        <v>0</v>
      </c>
      <c r="AB46" s="56" t="n">
        <f aca="false">ROUND(R45*(1+N(Debts!$D$7)/12),2)</f>
        <v>0</v>
      </c>
      <c r="AC46" s="56" t="n">
        <f aca="false">ROUND(S45*(1+N(Debts!$D$8)/12),2)</f>
        <v>0</v>
      </c>
      <c r="AD46" s="56" t="n">
        <f aca="false">ROUND(T45*(1+N(Debts!$D$9)/12),2)</f>
        <v>0</v>
      </c>
      <c r="AE46" s="56" t="n">
        <f aca="false">ROUND(U45*(1+N(Debts!$D$10)/12),2)</f>
        <v>539.76</v>
      </c>
      <c r="AF46" s="56" t="n">
        <f aca="false">ROUND(V45*(1+N(Debts!$D$11)/12),2)</f>
        <v>0</v>
      </c>
      <c r="AG46" s="56" t="n">
        <f aca="false">ROUND(W45*(1+N(Debts!$D$12)/12),2)</f>
        <v>0</v>
      </c>
      <c r="AH46" s="56" t="n">
        <f aca="false">ROUND(X45*(1+N(Debts!$D$13)/12),2)</f>
        <v>0</v>
      </c>
      <c r="AI46" s="56" t="n">
        <f aca="false">ROUND(Y45*(1+N(Debts!$D$14)/12),2)</f>
        <v>0</v>
      </c>
      <c r="AJ46" s="56" t="n">
        <f aca="false">MIN(Z46,MAX(0,N(Debts!$E$5)))</f>
        <v>0</v>
      </c>
      <c r="AK46" s="56" t="n">
        <f aca="false">MIN(AA46,MAX(0,N(Debts!$E$6)))</f>
        <v>0</v>
      </c>
      <c r="AL46" s="56" t="n">
        <f aca="false">MIN(AB46,MAX(0,N(Debts!$E$7)))</f>
        <v>0</v>
      </c>
      <c r="AM46" s="56" t="n">
        <f aca="false">MIN(AC46,MAX(0,N(Debts!$E$8)))</f>
        <v>0</v>
      </c>
      <c r="AN46" s="56" t="n">
        <f aca="false">MIN(AD46,MAX(0,N(Debts!$E$9)))</f>
        <v>0</v>
      </c>
      <c r="AO46" s="56" t="n">
        <f aca="false">MIN(AE46,MAX(0,N(Debts!$E$10)))</f>
        <v>210</v>
      </c>
      <c r="AP46" s="56" t="n">
        <f aca="false">MIN(AF46,MAX(0,N(Debts!$E$11)))</f>
        <v>0</v>
      </c>
      <c r="AQ46" s="56" t="n">
        <f aca="false">MIN(AG46,MAX(0,N(Debts!$E$12)))</f>
        <v>0</v>
      </c>
      <c r="AR46" s="56" t="n">
        <f aca="false">MIN(AH46,MAX(0,N(Debts!$E$13)))</f>
        <v>0</v>
      </c>
      <c r="AS46" s="56" t="n">
        <f aca="false">MIN(AI46,MAX(0,N(Debts!$E$14)))</f>
        <v>0</v>
      </c>
    </row>
    <row r="47" customFormat="false" ht="15" hidden="false" customHeight="false" outlineLevel="0" collapsed="false">
      <c r="A47" s="53" t="n">
        <v>43</v>
      </c>
      <c r="B47" s="54" t="n">
        <f aca="false">EDATE('Start Here'!$B$8,42)</f>
        <v>47604</v>
      </c>
      <c r="C47" s="42" t="n">
        <f aca="false">SUM(F47:O47)</f>
        <v>0</v>
      </c>
      <c r="D47" s="42" t="n">
        <f aca="false">ROUND(SUM($Z47:$AI47)-SUM(P46:Y46),2)</f>
        <v>0</v>
      </c>
      <c r="E47" s="55" t="n">
        <f aca="false">SUM(P47:Y47)</f>
        <v>0</v>
      </c>
      <c r="F47" s="42" t="n">
        <f aca="false">AJ47+MIN(Z47-AJ47,MAX(0,'Start Here'!$B$10-SUM($AJ47:$AS47)-SUMPRODUCT(($Z$3:$AI$3&lt;Z$3)*($Z47:$AI47-$AJ47:$AS47))))</f>
        <v>0</v>
      </c>
      <c r="G47" s="42" t="n">
        <f aca="false">AK47+MIN(AA47-AK47,MAX(0,'Start Here'!$B$10-SUM($AJ47:$AS47)-SUMPRODUCT(($Z$3:$AI$3&lt;AA$3)*($Z47:$AI47-$AJ47:$AS47))))</f>
        <v>0</v>
      </c>
      <c r="H47" s="42" t="n">
        <f aca="false">AL47+MIN(AB47-AL47,MAX(0,'Start Here'!$B$10-SUM($AJ47:$AS47)-SUMPRODUCT(($Z$3:$AI$3&lt;AB$3)*($Z47:$AI47-$AJ47:$AS47))))</f>
        <v>0</v>
      </c>
      <c r="I47" s="42" t="n">
        <f aca="false">AM47+MIN(AC47-AM47,MAX(0,'Start Here'!$B$10-SUM($AJ47:$AS47)-SUMPRODUCT(($Z$3:$AI$3&lt;AC$3)*($Z47:$AI47-$AJ47:$AS47))))</f>
        <v>0</v>
      </c>
      <c r="J47" s="42" t="n">
        <f aca="false">AN47+MIN(AD47-AN47,MAX(0,'Start Here'!$B$10-SUM($AJ47:$AS47)-SUMPRODUCT(($Z$3:$AI$3&lt;AD$3)*($Z47:$AI47-$AJ47:$AS47))))</f>
        <v>0</v>
      </c>
      <c r="K47" s="42" t="n">
        <f aca="false">AO47+MIN(AE47-AO47,MAX(0,'Start Here'!$B$10-SUM($AJ47:$AS47)-SUMPRODUCT(($Z$3:$AI$3&lt;AE$3)*($Z47:$AI47-$AJ47:$AS47))))</f>
        <v>0</v>
      </c>
      <c r="L47" s="42" t="n">
        <f aca="false">AP47+MIN(AF47-AP47,MAX(0,'Start Here'!$B$10-SUM($AJ47:$AS47)-SUMPRODUCT(($Z$3:$AI$3&lt;AF$3)*($Z47:$AI47-$AJ47:$AS47))))</f>
        <v>0</v>
      </c>
      <c r="M47" s="42" t="n">
        <f aca="false">AQ47+MIN(AG47-AQ47,MAX(0,'Start Here'!$B$10-SUM($AJ47:$AS47)-SUMPRODUCT(($Z$3:$AI$3&lt;AG$3)*($Z47:$AI47-$AJ47:$AS47))))</f>
        <v>0</v>
      </c>
      <c r="N47" s="42" t="n">
        <f aca="false">AR47+MIN(AH47-AR47,MAX(0,'Start Here'!$B$10-SUM($AJ47:$AS47)-SUMPRODUCT(($Z$3:$AI$3&lt;AH$3)*($Z47:$AI47-$AJ47:$AS47))))</f>
        <v>0</v>
      </c>
      <c r="O47" s="42" t="n">
        <f aca="false">AS47+MIN(AI47-AS47,MAX(0,'Start Here'!$B$10-SUM($AJ47:$AS47)-SUMPRODUCT(($Z$3:$AI$3&lt;AI$3)*($Z47:$AI47-$AJ47:$AS47))))</f>
        <v>0</v>
      </c>
      <c r="P47" s="42" t="n">
        <f aca="false">ROUND(Z47-F47,2)</f>
        <v>0</v>
      </c>
      <c r="Q47" s="42" t="n">
        <f aca="false">ROUND(AA47-G47,2)</f>
        <v>0</v>
      </c>
      <c r="R47" s="42" t="n">
        <f aca="false">ROUND(AB47-H47,2)</f>
        <v>0</v>
      </c>
      <c r="S47" s="42" t="n">
        <f aca="false">ROUND(AC47-I47,2)</f>
        <v>0</v>
      </c>
      <c r="T47" s="42" t="n">
        <f aca="false">ROUND(AD47-J47,2)</f>
        <v>0</v>
      </c>
      <c r="U47" s="42" t="n">
        <f aca="false">ROUND(AE47-K47,2)</f>
        <v>0</v>
      </c>
      <c r="V47" s="42" t="n">
        <f aca="false">ROUND(AF47-L47,2)</f>
        <v>0</v>
      </c>
      <c r="W47" s="42" t="n">
        <f aca="false">ROUND(AG47-M47,2)</f>
        <v>0</v>
      </c>
      <c r="X47" s="42" t="n">
        <f aca="false">ROUND(AH47-N47,2)</f>
        <v>0</v>
      </c>
      <c r="Y47" s="42" t="n">
        <f aca="false">ROUND(AI47-O47,2)</f>
        <v>0</v>
      </c>
      <c r="Z47" s="56" t="n">
        <f aca="false">ROUND(P46*(1+N(Debts!$D$5)/12),2)</f>
        <v>0</v>
      </c>
      <c r="AA47" s="56" t="n">
        <f aca="false">ROUND(Q46*(1+N(Debts!$D$6)/12),2)</f>
        <v>0</v>
      </c>
      <c r="AB47" s="56" t="n">
        <f aca="false">ROUND(R46*(1+N(Debts!$D$7)/12),2)</f>
        <v>0</v>
      </c>
      <c r="AC47" s="56" t="n">
        <f aca="false">ROUND(S46*(1+N(Debts!$D$8)/12),2)</f>
        <v>0</v>
      </c>
      <c r="AD47" s="56" t="n">
        <f aca="false">ROUND(T46*(1+N(Debts!$D$9)/12),2)</f>
        <v>0</v>
      </c>
      <c r="AE47" s="56" t="n">
        <f aca="false">ROUND(U46*(1+N(Debts!$D$10)/12),2)</f>
        <v>0</v>
      </c>
      <c r="AF47" s="56" t="n">
        <f aca="false">ROUND(V46*(1+N(Debts!$D$11)/12),2)</f>
        <v>0</v>
      </c>
      <c r="AG47" s="56" t="n">
        <f aca="false">ROUND(W46*(1+N(Debts!$D$12)/12),2)</f>
        <v>0</v>
      </c>
      <c r="AH47" s="56" t="n">
        <f aca="false">ROUND(X46*(1+N(Debts!$D$13)/12),2)</f>
        <v>0</v>
      </c>
      <c r="AI47" s="56" t="n">
        <f aca="false">ROUND(Y46*(1+N(Debts!$D$14)/12),2)</f>
        <v>0</v>
      </c>
      <c r="AJ47" s="56" t="n">
        <f aca="false">MIN(Z47,MAX(0,N(Debts!$E$5)))</f>
        <v>0</v>
      </c>
      <c r="AK47" s="56" t="n">
        <f aca="false">MIN(AA47,MAX(0,N(Debts!$E$6)))</f>
        <v>0</v>
      </c>
      <c r="AL47" s="56" t="n">
        <f aca="false">MIN(AB47,MAX(0,N(Debts!$E$7)))</f>
        <v>0</v>
      </c>
      <c r="AM47" s="56" t="n">
        <f aca="false">MIN(AC47,MAX(0,N(Debts!$E$8)))</f>
        <v>0</v>
      </c>
      <c r="AN47" s="56" t="n">
        <f aca="false">MIN(AD47,MAX(0,N(Debts!$E$9)))</f>
        <v>0</v>
      </c>
      <c r="AO47" s="56" t="n">
        <f aca="false">MIN(AE47,MAX(0,N(Debts!$E$10)))</f>
        <v>0</v>
      </c>
      <c r="AP47" s="56" t="n">
        <f aca="false">MIN(AF47,MAX(0,N(Debts!$E$11)))</f>
        <v>0</v>
      </c>
      <c r="AQ47" s="56" t="n">
        <f aca="false">MIN(AG47,MAX(0,N(Debts!$E$12)))</f>
        <v>0</v>
      </c>
      <c r="AR47" s="56" t="n">
        <f aca="false">MIN(AH47,MAX(0,N(Debts!$E$13)))</f>
        <v>0</v>
      </c>
      <c r="AS47" s="56" t="n">
        <f aca="false">MIN(AI47,MAX(0,N(Debts!$E$14)))</f>
        <v>0</v>
      </c>
    </row>
    <row r="48" customFormat="false" ht="15" hidden="false" customHeight="false" outlineLevel="0" collapsed="false">
      <c r="A48" s="53" t="n">
        <v>44</v>
      </c>
      <c r="B48" s="54" t="n">
        <f aca="false">EDATE('Start Here'!$B$8,43)</f>
        <v>47635</v>
      </c>
      <c r="C48" s="42" t="n">
        <f aca="false">SUM(F48:O48)</f>
        <v>0</v>
      </c>
      <c r="D48" s="42" t="n">
        <f aca="false">ROUND(SUM($Z48:$AI48)-SUM(P47:Y47),2)</f>
        <v>0</v>
      </c>
      <c r="E48" s="55" t="n">
        <f aca="false">SUM(P48:Y48)</f>
        <v>0</v>
      </c>
      <c r="F48" s="42" t="n">
        <f aca="false">AJ48+MIN(Z48-AJ48,MAX(0,'Start Here'!$B$10-SUM($AJ48:$AS48)-SUMPRODUCT(($Z$3:$AI$3&lt;Z$3)*($Z48:$AI48-$AJ48:$AS48))))</f>
        <v>0</v>
      </c>
      <c r="G48" s="42" t="n">
        <f aca="false">AK48+MIN(AA48-AK48,MAX(0,'Start Here'!$B$10-SUM($AJ48:$AS48)-SUMPRODUCT(($Z$3:$AI$3&lt;AA$3)*($Z48:$AI48-$AJ48:$AS48))))</f>
        <v>0</v>
      </c>
      <c r="H48" s="42" t="n">
        <f aca="false">AL48+MIN(AB48-AL48,MAX(0,'Start Here'!$B$10-SUM($AJ48:$AS48)-SUMPRODUCT(($Z$3:$AI$3&lt;AB$3)*($Z48:$AI48-$AJ48:$AS48))))</f>
        <v>0</v>
      </c>
      <c r="I48" s="42" t="n">
        <f aca="false">AM48+MIN(AC48-AM48,MAX(0,'Start Here'!$B$10-SUM($AJ48:$AS48)-SUMPRODUCT(($Z$3:$AI$3&lt;AC$3)*($Z48:$AI48-$AJ48:$AS48))))</f>
        <v>0</v>
      </c>
      <c r="J48" s="42" t="n">
        <f aca="false">AN48+MIN(AD48-AN48,MAX(0,'Start Here'!$B$10-SUM($AJ48:$AS48)-SUMPRODUCT(($Z$3:$AI$3&lt;AD$3)*($Z48:$AI48-$AJ48:$AS48))))</f>
        <v>0</v>
      </c>
      <c r="K48" s="42" t="n">
        <f aca="false">AO48+MIN(AE48-AO48,MAX(0,'Start Here'!$B$10-SUM($AJ48:$AS48)-SUMPRODUCT(($Z$3:$AI$3&lt;AE$3)*($Z48:$AI48-$AJ48:$AS48))))</f>
        <v>0</v>
      </c>
      <c r="L48" s="42" t="n">
        <f aca="false">AP48+MIN(AF48-AP48,MAX(0,'Start Here'!$B$10-SUM($AJ48:$AS48)-SUMPRODUCT(($Z$3:$AI$3&lt;AF$3)*($Z48:$AI48-$AJ48:$AS48))))</f>
        <v>0</v>
      </c>
      <c r="M48" s="42" t="n">
        <f aca="false">AQ48+MIN(AG48-AQ48,MAX(0,'Start Here'!$B$10-SUM($AJ48:$AS48)-SUMPRODUCT(($Z$3:$AI$3&lt;AG$3)*($Z48:$AI48-$AJ48:$AS48))))</f>
        <v>0</v>
      </c>
      <c r="N48" s="42" t="n">
        <f aca="false">AR48+MIN(AH48-AR48,MAX(0,'Start Here'!$B$10-SUM($AJ48:$AS48)-SUMPRODUCT(($Z$3:$AI$3&lt;AH$3)*($Z48:$AI48-$AJ48:$AS48))))</f>
        <v>0</v>
      </c>
      <c r="O48" s="42" t="n">
        <f aca="false">AS48+MIN(AI48-AS48,MAX(0,'Start Here'!$B$10-SUM($AJ48:$AS48)-SUMPRODUCT(($Z$3:$AI$3&lt;AI$3)*($Z48:$AI48-$AJ48:$AS48))))</f>
        <v>0</v>
      </c>
      <c r="P48" s="42" t="n">
        <f aca="false">ROUND(Z48-F48,2)</f>
        <v>0</v>
      </c>
      <c r="Q48" s="42" t="n">
        <f aca="false">ROUND(AA48-G48,2)</f>
        <v>0</v>
      </c>
      <c r="R48" s="42" t="n">
        <f aca="false">ROUND(AB48-H48,2)</f>
        <v>0</v>
      </c>
      <c r="S48" s="42" t="n">
        <f aca="false">ROUND(AC48-I48,2)</f>
        <v>0</v>
      </c>
      <c r="T48" s="42" t="n">
        <f aca="false">ROUND(AD48-J48,2)</f>
        <v>0</v>
      </c>
      <c r="U48" s="42" t="n">
        <f aca="false">ROUND(AE48-K48,2)</f>
        <v>0</v>
      </c>
      <c r="V48" s="42" t="n">
        <f aca="false">ROUND(AF48-L48,2)</f>
        <v>0</v>
      </c>
      <c r="W48" s="42" t="n">
        <f aca="false">ROUND(AG48-M48,2)</f>
        <v>0</v>
      </c>
      <c r="X48" s="42" t="n">
        <f aca="false">ROUND(AH48-N48,2)</f>
        <v>0</v>
      </c>
      <c r="Y48" s="42" t="n">
        <f aca="false">ROUND(AI48-O48,2)</f>
        <v>0</v>
      </c>
      <c r="Z48" s="56" t="n">
        <f aca="false">ROUND(P47*(1+N(Debts!$D$5)/12),2)</f>
        <v>0</v>
      </c>
      <c r="AA48" s="56" t="n">
        <f aca="false">ROUND(Q47*(1+N(Debts!$D$6)/12),2)</f>
        <v>0</v>
      </c>
      <c r="AB48" s="56" t="n">
        <f aca="false">ROUND(R47*(1+N(Debts!$D$7)/12),2)</f>
        <v>0</v>
      </c>
      <c r="AC48" s="56" t="n">
        <f aca="false">ROUND(S47*(1+N(Debts!$D$8)/12),2)</f>
        <v>0</v>
      </c>
      <c r="AD48" s="56" t="n">
        <f aca="false">ROUND(T47*(1+N(Debts!$D$9)/12),2)</f>
        <v>0</v>
      </c>
      <c r="AE48" s="56" t="n">
        <f aca="false">ROUND(U47*(1+N(Debts!$D$10)/12),2)</f>
        <v>0</v>
      </c>
      <c r="AF48" s="56" t="n">
        <f aca="false">ROUND(V47*(1+N(Debts!$D$11)/12),2)</f>
        <v>0</v>
      </c>
      <c r="AG48" s="56" t="n">
        <f aca="false">ROUND(W47*(1+N(Debts!$D$12)/12),2)</f>
        <v>0</v>
      </c>
      <c r="AH48" s="56" t="n">
        <f aca="false">ROUND(X47*(1+N(Debts!$D$13)/12),2)</f>
        <v>0</v>
      </c>
      <c r="AI48" s="56" t="n">
        <f aca="false">ROUND(Y47*(1+N(Debts!$D$14)/12),2)</f>
        <v>0</v>
      </c>
      <c r="AJ48" s="56" t="n">
        <f aca="false">MIN(Z48,MAX(0,N(Debts!$E$5)))</f>
        <v>0</v>
      </c>
      <c r="AK48" s="56" t="n">
        <f aca="false">MIN(AA48,MAX(0,N(Debts!$E$6)))</f>
        <v>0</v>
      </c>
      <c r="AL48" s="56" t="n">
        <f aca="false">MIN(AB48,MAX(0,N(Debts!$E$7)))</f>
        <v>0</v>
      </c>
      <c r="AM48" s="56" t="n">
        <f aca="false">MIN(AC48,MAX(0,N(Debts!$E$8)))</f>
        <v>0</v>
      </c>
      <c r="AN48" s="56" t="n">
        <f aca="false">MIN(AD48,MAX(0,N(Debts!$E$9)))</f>
        <v>0</v>
      </c>
      <c r="AO48" s="56" t="n">
        <f aca="false">MIN(AE48,MAX(0,N(Debts!$E$10)))</f>
        <v>0</v>
      </c>
      <c r="AP48" s="56" t="n">
        <f aca="false">MIN(AF48,MAX(0,N(Debts!$E$11)))</f>
        <v>0</v>
      </c>
      <c r="AQ48" s="56" t="n">
        <f aca="false">MIN(AG48,MAX(0,N(Debts!$E$12)))</f>
        <v>0</v>
      </c>
      <c r="AR48" s="56" t="n">
        <f aca="false">MIN(AH48,MAX(0,N(Debts!$E$13)))</f>
        <v>0</v>
      </c>
      <c r="AS48" s="56" t="n">
        <f aca="false">MIN(AI48,MAX(0,N(Debts!$E$14)))</f>
        <v>0</v>
      </c>
    </row>
    <row r="49" customFormat="false" ht="15" hidden="false" customHeight="false" outlineLevel="0" collapsed="false">
      <c r="A49" s="53" t="n">
        <v>45</v>
      </c>
      <c r="B49" s="54" t="n">
        <f aca="false">EDATE('Start Here'!$B$8,44)</f>
        <v>47665</v>
      </c>
      <c r="C49" s="42" t="n">
        <f aca="false">SUM(F49:O49)</f>
        <v>0</v>
      </c>
      <c r="D49" s="42" t="n">
        <f aca="false">ROUND(SUM($Z49:$AI49)-SUM(P48:Y48),2)</f>
        <v>0</v>
      </c>
      <c r="E49" s="55" t="n">
        <f aca="false">SUM(P49:Y49)</f>
        <v>0</v>
      </c>
      <c r="F49" s="42" t="n">
        <f aca="false">AJ49+MIN(Z49-AJ49,MAX(0,'Start Here'!$B$10-SUM($AJ49:$AS49)-SUMPRODUCT(($Z$3:$AI$3&lt;Z$3)*($Z49:$AI49-$AJ49:$AS49))))</f>
        <v>0</v>
      </c>
      <c r="G49" s="42" t="n">
        <f aca="false">AK49+MIN(AA49-AK49,MAX(0,'Start Here'!$B$10-SUM($AJ49:$AS49)-SUMPRODUCT(($Z$3:$AI$3&lt;AA$3)*($Z49:$AI49-$AJ49:$AS49))))</f>
        <v>0</v>
      </c>
      <c r="H49" s="42" t="n">
        <f aca="false">AL49+MIN(AB49-AL49,MAX(0,'Start Here'!$B$10-SUM($AJ49:$AS49)-SUMPRODUCT(($Z$3:$AI$3&lt;AB$3)*($Z49:$AI49-$AJ49:$AS49))))</f>
        <v>0</v>
      </c>
      <c r="I49" s="42" t="n">
        <f aca="false">AM49+MIN(AC49-AM49,MAX(0,'Start Here'!$B$10-SUM($AJ49:$AS49)-SUMPRODUCT(($Z$3:$AI$3&lt;AC$3)*($Z49:$AI49-$AJ49:$AS49))))</f>
        <v>0</v>
      </c>
      <c r="J49" s="42" t="n">
        <f aca="false">AN49+MIN(AD49-AN49,MAX(0,'Start Here'!$B$10-SUM($AJ49:$AS49)-SUMPRODUCT(($Z$3:$AI$3&lt;AD$3)*($Z49:$AI49-$AJ49:$AS49))))</f>
        <v>0</v>
      </c>
      <c r="K49" s="42" t="n">
        <f aca="false">AO49+MIN(AE49-AO49,MAX(0,'Start Here'!$B$10-SUM($AJ49:$AS49)-SUMPRODUCT(($Z$3:$AI$3&lt;AE$3)*($Z49:$AI49-$AJ49:$AS49))))</f>
        <v>0</v>
      </c>
      <c r="L49" s="42" t="n">
        <f aca="false">AP49+MIN(AF49-AP49,MAX(0,'Start Here'!$B$10-SUM($AJ49:$AS49)-SUMPRODUCT(($Z$3:$AI$3&lt;AF$3)*($Z49:$AI49-$AJ49:$AS49))))</f>
        <v>0</v>
      </c>
      <c r="M49" s="42" t="n">
        <f aca="false">AQ49+MIN(AG49-AQ49,MAX(0,'Start Here'!$B$10-SUM($AJ49:$AS49)-SUMPRODUCT(($Z$3:$AI$3&lt;AG$3)*($Z49:$AI49-$AJ49:$AS49))))</f>
        <v>0</v>
      </c>
      <c r="N49" s="42" t="n">
        <f aca="false">AR49+MIN(AH49-AR49,MAX(0,'Start Here'!$B$10-SUM($AJ49:$AS49)-SUMPRODUCT(($Z$3:$AI$3&lt;AH$3)*($Z49:$AI49-$AJ49:$AS49))))</f>
        <v>0</v>
      </c>
      <c r="O49" s="42" t="n">
        <f aca="false">AS49+MIN(AI49-AS49,MAX(0,'Start Here'!$B$10-SUM($AJ49:$AS49)-SUMPRODUCT(($Z$3:$AI$3&lt;AI$3)*($Z49:$AI49-$AJ49:$AS49))))</f>
        <v>0</v>
      </c>
      <c r="P49" s="42" t="n">
        <f aca="false">ROUND(Z49-F49,2)</f>
        <v>0</v>
      </c>
      <c r="Q49" s="42" t="n">
        <f aca="false">ROUND(AA49-G49,2)</f>
        <v>0</v>
      </c>
      <c r="R49" s="42" t="n">
        <f aca="false">ROUND(AB49-H49,2)</f>
        <v>0</v>
      </c>
      <c r="S49" s="42" t="n">
        <f aca="false">ROUND(AC49-I49,2)</f>
        <v>0</v>
      </c>
      <c r="T49" s="42" t="n">
        <f aca="false">ROUND(AD49-J49,2)</f>
        <v>0</v>
      </c>
      <c r="U49" s="42" t="n">
        <f aca="false">ROUND(AE49-K49,2)</f>
        <v>0</v>
      </c>
      <c r="V49" s="42" t="n">
        <f aca="false">ROUND(AF49-L49,2)</f>
        <v>0</v>
      </c>
      <c r="W49" s="42" t="n">
        <f aca="false">ROUND(AG49-M49,2)</f>
        <v>0</v>
      </c>
      <c r="X49" s="42" t="n">
        <f aca="false">ROUND(AH49-N49,2)</f>
        <v>0</v>
      </c>
      <c r="Y49" s="42" t="n">
        <f aca="false">ROUND(AI49-O49,2)</f>
        <v>0</v>
      </c>
      <c r="Z49" s="56" t="n">
        <f aca="false">ROUND(P48*(1+N(Debts!$D$5)/12),2)</f>
        <v>0</v>
      </c>
      <c r="AA49" s="56" t="n">
        <f aca="false">ROUND(Q48*(1+N(Debts!$D$6)/12),2)</f>
        <v>0</v>
      </c>
      <c r="AB49" s="56" t="n">
        <f aca="false">ROUND(R48*(1+N(Debts!$D$7)/12),2)</f>
        <v>0</v>
      </c>
      <c r="AC49" s="56" t="n">
        <f aca="false">ROUND(S48*(1+N(Debts!$D$8)/12),2)</f>
        <v>0</v>
      </c>
      <c r="AD49" s="56" t="n">
        <f aca="false">ROUND(T48*(1+N(Debts!$D$9)/12),2)</f>
        <v>0</v>
      </c>
      <c r="AE49" s="56" t="n">
        <f aca="false">ROUND(U48*(1+N(Debts!$D$10)/12),2)</f>
        <v>0</v>
      </c>
      <c r="AF49" s="56" t="n">
        <f aca="false">ROUND(V48*(1+N(Debts!$D$11)/12),2)</f>
        <v>0</v>
      </c>
      <c r="AG49" s="56" t="n">
        <f aca="false">ROUND(W48*(1+N(Debts!$D$12)/12),2)</f>
        <v>0</v>
      </c>
      <c r="AH49" s="56" t="n">
        <f aca="false">ROUND(X48*(1+N(Debts!$D$13)/12),2)</f>
        <v>0</v>
      </c>
      <c r="AI49" s="56" t="n">
        <f aca="false">ROUND(Y48*(1+N(Debts!$D$14)/12),2)</f>
        <v>0</v>
      </c>
      <c r="AJ49" s="56" t="n">
        <f aca="false">MIN(Z49,MAX(0,N(Debts!$E$5)))</f>
        <v>0</v>
      </c>
      <c r="AK49" s="56" t="n">
        <f aca="false">MIN(AA49,MAX(0,N(Debts!$E$6)))</f>
        <v>0</v>
      </c>
      <c r="AL49" s="56" t="n">
        <f aca="false">MIN(AB49,MAX(0,N(Debts!$E$7)))</f>
        <v>0</v>
      </c>
      <c r="AM49" s="56" t="n">
        <f aca="false">MIN(AC49,MAX(0,N(Debts!$E$8)))</f>
        <v>0</v>
      </c>
      <c r="AN49" s="56" t="n">
        <f aca="false">MIN(AD49,MAX(0,N(Debts!$E$9)))</f>
        <v>0</v>
      </c>
      <c r="AO49" s="56" t="n">
        <f aca="false">MIN(AE49,MAX(0,N(Debts!$E$10)))</f>
        <v>0</v>
      </c>
      <c r="AP49" s="56" t="n">
        <f aca="false">MIN(AF49,MAX(0,N(Debts!$E$11)))</f>
        <v>0</v>
      </c>
      <c r="AQ49" s="56" t="n">
        <f aca="false">MIN(AG49,MAX(0,N(Debts!$E$12)))</f>
        <v>0</v>
      </c>
      <c r="AR49" s="56" t="n">
        <f aca="false">MIN(AH49,MAX(0,N(Debts!$E$13)))</f>
        <v>0</v>
      </c>
      <c r="AS49" s="56" t="n">
        <f aca="false">MIN(AI49,MAX(0,N(Debts!$E$14)))</f>
        <v>0</v>
      </c>
    </row>
    <row r="50" customFormat="false" ht="15" hidden="false" customHeight="false" outlineLevel="0" collapsed="false">
      <c r="A50" s="53" t="n">
        <v>46</v>
      </c>
      <c r="B50" s="54" t="n">
        <f aca="false">EDATE('Start Here'!$B$8,45)</f>
        <v>47696</v>
      </c>
      <c r="C50" s="42" t="n">
        <f aca="false">SUM(F50:O50)</f>
        <v>0</v>
      </c>
      <c r="D50" s="42" t="n">
        <f aca="false">ROUND(SUM($Z50:$AI50)-SUM(P49:Y49),2)</f>
        <v>0</v>
      </c>
      <c r="E50" s="55" t="n">
        <f aca="false">SUM(P50:Y50)</f>
        <v>0</v>
      </c>
      <c r="F50" s="42" t="n">
        <f aca="false">AJ50+MIN(Z50-AJ50,MAX(0,'Start Here'!$B$10-SUM($AJ50:$AS50)-SUMPRODUCT(($Z$3:$AI$3&lt;Z$3)*($Z50:$AI50-$AJ50:$AS50))))</f>
        <v>0</v>
      </c>
      <c r="G50" s="42" t="n">
        <f aca="false">AK50+MIN(AA50-AK50,MAX(0,'Start Here'!$B$10-SUM($AJ50:$AS50)-SUMPRODUCT(($Z$3:$AI$3&lt;AA$3)*($Z50:$AI50-$AJ50:$AS50))))</f>
        <v>0</v>
      </c>
      <c r="H50" s="42" t="n">
        <f aca="false">AL50+MIN(AB50-AL50,MAX(0,'Start Here'!$B$10-SUM($AJ50:$AS50)-SUMPRODUCT(($Z$3:$AI$3&lt;AB$3)*($Z50:$AI50-$AJ50:$AS50))))</f>
        <v>0</v>
      </c>
      <c r="I50" s="42" t="n">
        <f aca="false">AM50+MIN(AC50-AM50,MAX(0,'Start Here'!$B$10-SUM($AJ50:$AS50)-SUMPRODUCT(($Z$3:$AI$3&lt;AC$3)*($Z50:$AI50-$AJ50:$AS50))))</f>
        <v>0</v>
      </c>
      <c r="J50" s="42" t="n">
        <f aca="false">AN50+MIN(AD50-AN50,MAX(0,'Start Here'!$B$10-SUM($AJ50:$AS50)-SUMPRODUCT(($Z$3:$AI$3&lt;AD$3)*($Z50:$AI50-$AJ50:$AS50))))</f>
        <v>0</v>
      </c>
      <c r="K50" s="42" t="n">
        <f aca="false">AO50+MIN(AE50-AO50,MAX(0,'Start Here'!$B$10-SUM($AJ50:$AS50)-SUMPRODUCT(($Z$3:$AI$3&lt;AE$3)*($Z50:$AI50-$AJ50:$AS50))))</f>
        <v>0</v>
      </c>
      <c r="L50" s="42" t="n">
        <f aca="false">AP50+MIN(AF50-AP50,MAX(0,'Start Here'!$B$10-SUM($AJ50:$AS50)-SUMPRODUCT(($Z$3:$AI$3&lt;AF$3)*($Z50:$AI50-$AJ50:$AS50))))</f>
        <v>0</v>
      </c>
      <c r="M50" s="42" t="n">
        <f aca="false">AQ50+MIN(AG50-AQ50,MAX(0,'Start Here'!$B$10-SUM($AJ50:$AS50)-SUMPRODUCT(($Z$3:$AI$3&lt;AG$3)*($Z50:$AI50-$AJ50:$AS50))))</f>
        <v>0</v>
      </c>
      <c r="N50" s="42" t="n">
        <f aca="false">AR50+MIN(AH50-AR50,MAX(0,'Start Here'!$B$10-SUM($AJ50:$AS50)-SUMPRODUCT(($Z$3:$AI$3&lt;AH$3)*($Z50:$AI50-$AJ50:$AS50))))</f>
        <v>0</v>
      </c>
      <c r="O50" s="42" t="n">
        <f aca="false">AS50+MIN(AI50-AS50,MAX(0,'Start Here'!$B$10-SUM($AJ50:$AS50)-SUMPRODUCT(($Z$3:$AI$3&lt;AI$3)*($Z50:$AI50-$AJ50:$AS50))))</f>
        <v>0</v>
      </c>
      <c r="P50" s="42" t="n">
        <f aca="false">ROUND(Z50-F50,2)</f>
        <v>0</v>
      </c>
      <c r="Q50" s="42" t="n">
        <f aca="false">ROUND(AA50-G50,2)</f>
        <v>0</v>
      </c>
      <c r="R50" s="42" t="n">
        <f aca="false">ROUND(AB50-H50,2)</f>
        <v>0</v>
      </c>
      <c r="S50" s="42" t="n">
        <f aca="false">ROUND(AC50-I50,2)</f>
        <v>0</v>
      </c>
      <c r="T50" s="42" t="n">
        <f aca="false">ROUND(AD50-J50,2)</f>
        <v>0</v>
      </c>
      <c r="U50" s="42" t="n">
        <f aca="false">ROUND(AE50-K50,2)</f>
        <v>0</v>
      </c>
      <c r="V50" s="42" t="n">
        <f aca="false">ROUND(AF50-L50,2)</f>
        <v>0</v>
      </c>
      <c r="W50" s="42" t="n">
        <f aca="false">ROUND(AG50-M50,2)</f>
        <v>0</v>
      </c>
      <c r="X50" s="42" t="n">
        <f aca="false">ROUND(AH50-N50,2)</f>
        <v>0</v>
      </c>
      <c r="Y50" s="42" t="n">
        <f aca="false">ROUND(AI50-O50,2)</f>
        <v>0</v>
      </c>
      <c r="Z50" s="56" t="n">
        <f aca="false">ROUND(P49*(1+N(Debts!$D$5)/12),2)</f>
        <v>0</v>
      </c>
      <c r="AA50" s="56" t="n">
        <f aca="false">ROUND(Q49*(1+N(Debts!$D$6)/12),2)</f>
        <v>0</v>
      </c>
      <c r="AB50" s="56" t="n">
        <f aca="false">ROUND(R49*(1+N(Debts!$D$7)/12),2)</f>
        <v>0</v>
      </c>
      <c r="AC50" s="56" t="n">
        <f aca="false">ROUND(S49*(1+N(Debts!$D$8)/12),2)</f>
        <v>0</v>
      </c>
      <c r="AD50" s="56" t="n">
        <f aca="false">ROUND(T49*(1+N(Debts!$D$9)/12),2)</f>
        <v>0</v>
      </c>
      <c r="AE50" s="56" t="n">
        <f aca="false">ROUND(U49*(1+N(Debts!$D$10)/12),2)</f>
        <v>0</v>
      </c>
      <c r="AF50" s="56" t="n">
        <f aca="false">ROUND(V49*(1+N(Debts!$D$11)/12),2)</f>
        <v>0</v>
      </c>
      <c r="AG50" s="56" t="n">
        <f aca="false">ROUND(W49*(1+N(Debts!$D$12)/12),2)</f>
        <v>0</v>
      </c>
      <c r="AH50" s="56" t="n">
        <f aca="false">ROUND(X49*(1+N(Debts!$D$13)/12),2)</f>
        <v>0</v>
      </c>
      <c r="AI50" s="56" t="n">
        <f aca="false">ROUND(Y49*(1+N(Debts!$D$14)/12),2)</f>
        <v>0</v>
      </c>
      <c r="AJ50" s="56" t="n">
        <f aca="false">MIN(Z50,MAX(0,N(Debts!$E$5)))</f>
        <v>0</v>
      </c>
      <c r="AK50" s="56" t="n">
        <f aca="false">MIN(AA50,MAX(0,N(Debts!$E$6)))</f>
        <v>0</v>
      </c>
      <c r="AL50" s="56" t="n">
        <f aca="false">MIN(AB50,MAX(0,N(Debts!$E$7)))</f>
        <v>0</v>
      </c>
      <c r="AM50" s="56" t="n">
        <f aca="false">MIN(AC50,MAX(0,N(Debts!$E$8)))</f>
        <v>0</v>
      </c>
      <c r="AN50" s="56" t="n">
        <f aca="false">MIN(AD50,MAX(0,N(Debts!$E$9)))</f>
        <v>0</v>
      </c>
      <c r="AO50" s="56" t="n">
        <f aca="false">MIN(AE50,MAX(0,N(Debts!$E$10)))</f>
        <v>0</v>
      </c>
      <c r="AP50" s="56" t="n">
        <f aca="false">MIN(AF50,MAX(0,N(Debts!$E$11)))</f>
        <v>0</v>
      </c>
      <c r="AQ50" s="56" t="n">
        <f aca="false">MIN(AG50,MAX(0,N(Debts!$E$12)))</f>
        <v>0</v>
      </c>
      <c r="AR50" s="56" t="n">
        <f aca="false">MIN(AH50,MAX(0,N(Debts!$E$13)))</f>
        <v>0</v>
      </c>
      <c r="AS50" s="56" t="n">
        <f aca="false">MIN(AI50,MAX(0,N(Debts!$E$14)))</f>
        <v>0</v>
      </c>
    </row>
    <row r="51" customFormat="false" ht="15" hidden="false" customHeight="false" outlineLevel="0" collapsed="false">
      <c r="A51" s="53" t="n">
        <v>47</v>
      </c>
      <c r="B51" s="54" t="n">
        <f aca="false">EDATE('Start Here'!$B$8,46)</f>
        <v>47727</v>
      </c>
      <c r="C51" s="42" t="n">
        <f aca="false">SUM(F51:O51)</f>
        <v>0</v>
      </c>
      <c r="D51" s="42" t="n">
        <f aca="false">ROUND(SUM($Z51:$AI51)-SUM(P50:Y50),2)</f>
        <v>0</v>
      </c>
      <c r="E51" s="55" t="n">
        <f aca="false">SUM(P51:Y51)</f>
        <v>0</v>
      </c>
      <c r="F51" s="42" t="n">
        <f aca="false">AJ51+MIN(Z51-AJ51,MAX(0,'Start Here'!$B$10-SUM($AJ51:$AS51)-SUMPRODUCT(($Z$3:$AI$3&lt;Z$3)*($Z51:$AI51-$AJ51:$AS51))))</f>
        <v>0</v>
      </c>
      <c r="G51" s="42" t="n">
        <f aca="false">AK51+MIN(AA51-AK51,MAX(0,'Start Here'!$B$10-SUM($AJ51:$AS51)-SUMPRODUCT(($Z$3:$AI$3&lt;AA$3)*($Z51:$AI51-$AJ51:$AS51))))</f>
        <v>0</v>
      </c>
      <c r="H51" s="42" t="n">
        <f aca="false">AL51+MIN(AB51-AL51,MAX(0,'Start Here'!$B$10-SUM($AJ51:$AS51)-SUMPRODUCT(($Z$3:$AI$3&lt;AB$3)*($Z51:$AI51-$AJ51:$AS51))))</f>
        <v>0</v>
      </c>
      <c r="I51" s="42" t="n">
        <f aca="false">AM51+MIN(AC51-AM51,MAX(0,'Start Here'!$B$10-SUM($AJ51:$AS51)-SUMPRODUCT(($Z$3:$AI$3&lt;AC$3)*($Z51:$AI51-$AJ51:$AS51))))</f>
        <v>0</v>
      </c>
      <c r="J51" s="42" t="n">
        <f aca="false">AN51+MIN(AD51-AN51,MAX(0,'Start Here'!$B$10-SUM($AJ51:$AS51)-SUMPRODUCT(($Z$3:$AI$3&lt;AD$3)*($Z51:$AI51-$AJ51:$AS51))))</f>
        <v>0</v>
      </c>
      <c r="K51" s="42" t="n">
        <f aca="false">AO51+MIN(AE51-AO51,MAX(0,'Start Here'!$B$10-SUM($AJ51:$AS51)-SUMPRODUCT(($Z$3:$AI$3&lt;AE$3)*($Z51:$AI51-$AJ51:$AS51))))</f>
        <v>0</v>
      </c>
      <c r="L51" s="42" t="n">
        <f aca="false">AP51+MIN(AF51-AP51,MAX(0,'Start Here'!$B$10-SUM($AJ51:$AS51)-SUMPRODUCT(($Z$3:$AI$3&lt;AF$3)*($Z51:$AI51-$AJ51:$AS51))))</f>
        <v>0</v>
      </c>
      <c r="M51" s="42" t="n">
        <f aca="false">AQ51+MIN(AG51-AQ51,MAX(0,'Start Here'!$B$10-SUM($AJ51:$AS51)-SUMPRODUCT(($Z$3:$AI$3&lt;AG$3)*($Z51:$AI51-$AJ51:$AS51))))</f>
        <v>0</v>
      </c>
      <c r="N51" s="42" t="n">
        <f aca="false">AR51+MIN(AH51-AR51,MAX(0,'Start Here'!$B$10-SUM($AJ51:$AS51)-SUMPRODUCT(($Z$3:$AI$3&lt;AH$3)*($Z51:$AI51-$AJ51:$AS51))))</f>
        <v>0</v>
      </c>
      <c r="O51" s="42" t="n">
        <f aca="false">AS51+MIN(AI51-AS51,MAX(0,'Start Here'!$B$10-SUM($AJ51:$AS51)-SUMPRODUCT(($Z$3:$AI$3&lt;AI$3)*($Z51:$AI51-$AJ51:$AS51))))</f>
        <v>0</v>
      </c>
      <c r="P51" s="42" t="n">
        <f aca="false">ROUND(Z51-F51,2)</f>
        <v>0</v>
      </c>
      <c r="Q51" s="42" t="n">
        <f aca="false">ROUND(AA51-G51,2)</f>
        <v>0</v>
      </c>
      <c r="R51" s="42" t="n">
        <f aca="false">ROUND(AB51-H51,2)</f>
        <v>0</v>
      </c>
      <c r="S51" s="42" t="n">
        <f aca="false">ROUND(AC51-I51,2)</f>
        <v>0</v>
      </c>
      <c r="T51" s="42" t="n">
        <f aca="false">ROUND(AD51-J51,2)</f>
        <v>0</v>
      </c>
      <c r="U51" s="42" t="n">
        <f aca="false">ROUND(AE51-K51,2)</f>
        <v>0</v>
      </c>
      <c r="V51" s="42" t="n">
        <f aca="false">ROUND(AF51-L51,2)</f>
        <v>0</v>
      </c>
      <c r="W51" s="42" t="n">
        <f aca="false">ROUND(AG51-M51,2)</f>
        <v>0</v>
      </c>
      <c r="X51" s="42" t="n">
        <f aca="false">ROUND(AH51-N51,2)</f>
        <v>0</v>
      </c>
      <c r="Y51" s="42" t="n">
        <f aca="false">ROUND(AI51-O51,2)</f>
        <v>0</v>
      </c>
      <c r="Z51" s="56" t="n">
        <f aca="false">ROUND(P50*(1+N(Debts!$D$5)/12),2)</f>
        <v>0</v>
      </c>
      <c r="AA51" s="56" t="n">
        <f aca="false">ROUND(Q50*(1+N(Debts!$D$6)/12),2)</f>
        <v>0</v>
      </c>
      <c r="AB51" s="56" t="n">
        <f aca="false">ROUND(R50*(1+N(Debts!$D$7)/12),2)</f>
        <v>0</v>
      </c>
      <c r="AC51" s="56" t="n">
        <f aca="false">ROUND(S50*(1+N(Debts!$D$8)/12),2)</f>
        <v>0</v>
      </c>
      <c r="AD51" s="56" t="n">
        <f aca="false">ROUND(T50*(1+N(Debts!$D$9)/12),2)</f>
        <v>0</v>
      </c>
      <c r="AE51" s="56" t="n">
        <f aca="false">ROUND(U50*(1+N(Debts!$D$10)/12),2)</f>
        <v>0</v>
      </c>
      <c r="AF51" s="56" t="n">
        <f aca="false">ROUND(V50*(1+N(Debts!$D$11)/12),2)</f>
        <v>0</v>
      </c>
      <c r="AG51" s="56" t="n">
        <f aca="false">ROUND(W50*(1+N(Debts!$D$12)/12),2)</f>
        <v>0</v>
      </c>
      <c r="AH51" s="56" t="n">
        <f aca="false">ROUND(X50*(1+N(Debts!$D$13)/12),2)</f>
        <v>0</v>
      </c>
      <c r="AI51" s="56" t="n">
        <f aca="false">ROUND(Y50*(1+N(Debts!$D$14)/12),2)</f>
        <v>0</v>
      </c>
      <c r="AJ51" s="56" t="n">
        <f aca="false">MIN(Z51,MAX(0,N(Debts!$E$5)))</f>
        <v>0</v>
      </c>
      <c r="AK51" s="56" t="n">
        <f aca="false">MIN(AA51,MAX(0,N(Debts!$E$6)))</f>
        <v>0</v>
      </c>
      <c r="AL51" s="56" t="n">
        <f aca="false">MIN(AB51,MAX(0,N(Debts!$E$7)))</f>
        <v>0</v>
      </c>
      <c r="AM51" s="56" t="n">
        <f aca="false">MIN(AC51,MAX(0,N(Debts!$E$8)))</f>
        <v>0</v>
      </c>
      <c r="AN51" s="56" t="n">
        <f aca="false">MIN(AD51,MAX(0,N(Debts!$E$9)))</f>
        <v>0</v>
      </c>
      <c r="AO51" s="56" t="n">
        <f aca="false">MIN(AE51,MAX(0,N(Debts!$E$10)))</f>
        <v>0</v>
      </c>
      <c r="AP51" s="56" t="n">
        <f aca="false">MIN(AF51,MAX(0,N(Debts!$E$11)))</f>
        <v>0</v>
      </c>
      <c r="AQ51" s="56" t="n">
        <f aca="false">MIN(AG51,MAX(0,N(Debts!$E$12)))</f>
        <v>0</v>
      </c>
      <c r="AR51" s="56" t="n">
        <f aca="false">MIN(AH51,MAX(0,N(Debts!$E$13)))</f>
        <v>0</v>
      </c>
      <c r="AS51" s="56" t="n">
        <f aca="false">MIN(AI51,MAX(0,N(Debts!$E$14)))</f>
        <v>0</v>
      </c>
    </row>
    <row r="52" customFormat="false" ht="15" hidden="false" customHeight="false" outlineLevel="0" collapsed="false">
      <c r="A52" s="53" t="n">
        <v>48</v>
      </c>
      <c r="B52" s="54" t="n">
        <f aca="false">EDATE('Start Here'!$B$8,47)</f>
        <v>47757</v>
      </c>
      <c r="C52" s="42" t="n">
        <f aca="false">SUM(F52:O52)</f>
        <v>0</v>
      </c>
      <c r="D52" s="42" t="n">
        <f aca="false">ROUND(SUM($Z52:$AI52)-SUM(P51:Y51),2)</f>
        <v>0</v>
      </c>
      <c r="E52" s="55" t="n">
        <f aca="false">SUM(P52:Y52)</f>
        <v>0</v>
      </c>
      <c r="F52" s="42" t="n">
        <f aca="false">AJ52+MIN(Z52-AJ52,MAX(0,'Start Here'!$B$10-SUM($AJ52:$AS52)-SUMPRODUCT(($Z$3:$AI$3&lt;Z$3)*($Z52:$AI52-$AJ52:$AS52))))</f>
        <v>0</v>
      </c>
      <c r="G52" s="42" t="n">
        <f aca="false">AK52+MIN(AA52-AK52,MAX(0,'Start Here'!$B$10-SUM($AJ52:$AS52)-SUMPRODUCT(($Z$3:$AI$3&lt;AA$3)*($Z52:$AI52-$AJ52:$AS52))))</f>
        <v>0</v>
      </c>
      <c r="H52" s="42" t="n">
        <f aca="false">AL52+MIN(AB52-AL52,MAX(0,'Start Here'!$B$10-SUM($AJ52:$AS52)-SUMPRODUCT(($Z$3:$AI$3&lt;AB$3)*($Z52:$AI52-$AJ52:$AS52))))</f>
        <v>0</v>
      </c>
      <c r="I52" s="42" t="n">
        <f aca="false">AM52+MIN(AC52-AM52,MAX(0,'Start Here'!$B$10-SUM($AJ52:$AS52)-SUMPRODUCT(($Z$3:$AI$3&lt;AC$3)*($Z52:$AI52-$AJ52:$AS52))))</f>
        <v>0</v>
      </c>
      <c r="J52" s="42" t="n">
        <f aca="false">AN52+MIN(AD52-AN52,MAX(0,'Start Here'!$B$10-SUM($AJ52:$AS52)-SUMPRODUCT(($Z$3:$AI$3&lt;AD$3)*($Z52:$AI52-$AJ52:$AS52))))</f>
        <v>0</v>
      </c>
      <c r="K52" s="42" t="n">
        <f aca="false">AO52+MIN(AE52-AO52,MAX(0,'Start Here'!$B$10-SUM($AJ52:$AS52)-SUMPRODUCT(($Z$3:$AI$3&lt;AE$3)*($Z52:$AI52-$AJ52:$AS52))))</f>
        <v>0</v>
      </c>
      <c r="L52" s="42" t="n">
        <f aca="false">AP52+MIN(AF52-AP52,MAX(0,'Start Here'!$B$10-SUM($AJ52:$AS52)-SUMPRODUCT(($Z$3:$AI$3&lt;AF$3)*($Z52:$AI52-$AJ52:$AS52))))</f>
        <v>0</v>
      </c>
      <c r="M52" s="42" t="n">
        <f aca="false">AQ52+MIN(AG52-AQ52,MAX(0,'Start Here'!$B$10-SUM($AJ52:$AS52)-SUMPRODUCT(($Z$3:$AI$3&lt;AG$3)*($Z52:$AI52-$AJ52:$AS52))))</f>
        <v>0</v>
      </c>
      <c r="N52" s="42" t="n">
        <f aca="false">AR52+MIN(AH52-AR52,MAX(0,'Start Here'!$B$10-SUM($AJ52:$AS52)-SUMPRODUCT(($Z$3:$AI$3&lt;AH$3)*($Z52:$AI52-$AJ52:$AS52))))</f>
        <v>0</v>
      </c>
      <c r="O52" s="42" t="n">
        <f aca="false">AS52+MIN(AI52-AS52,MAX(0,'Start Here'!$B$10-SUM($AJ52:$AS52)-SUMPRODUCT(($Z$3:$AI$3&lt;AI$3)*($Z52:$AI52-$AJ52:$AS52))))</f>
        <v>0</v>
      </c>
      <c r="P52" s="42" t="n">
        <f aca="false">ROUND(Z52-F52,2)</f>
        <v>0</v>
      </c>
      <c r="Q52" s="42" t="n">
        <f aca="false">ROUND(AA52-G52,2)</f>
        <v>0</v>
      </c>
      <c r="R52" s="42" t="n">
        <f aca="false">ROUND(AB52-H52,2)</f>
        <v>0</v>
      </c>
      <c r="S52" s="42" t="n">
        <f aca="false">ROUND(AC52-I52,2)</f>
        <v>0</v>
      </c>
      <c r="T52" s="42" t="n">
        <f aca="false">ROUND(AD52-J52,2)</f>
        <v>0</v>
      </c>
      <c r="U52" s="42" t="n">
        <f aca="false">ROUND(AE52-K52,2)</f>
        <v>0</v>
      </c>
      <c r="V52" s="42" t="n">
        <f aca="false">ROUND(AF52-L52,2)</f>
        <v>0</v>
      </c>
      <c r="W52" s="42" t="n">
        <f aca="false">ROUND(AG52-M52,2)</f>
        <v>0</v>
      </c>
      <c r="X52" s="42" t="n">
        <f aca="false">ROUND(AH52-N52,2)</f>
        <v>0</v>
      </c>
      <c r="Y52" s="42" t="n">
        <f aca="false">ROUND(AI52-O52,2)</f>
        <v>0</v>
      </c>
      <c r="Z52" s="56" t="n">
        <f aca="false">ROUND(P51*(1+N(Debts!$D$5)/12),2)</f>
        <v>0</v>
      </c>
      <c r="AA52" s="56" t="n">
        <f aca="false">ROUND(Q51*(1+N(Debts!$D$6)/12),2)</f>
        <v>0</v>
      </c>
      <c r="AB52" s="56" t="n">
        <f aca="false">ROUND(R51*(1+N(Debts!$D$7)/12),2)</f>
        <v>0</v>
      </c>
      <c r="AC52" s="56" t="n">
        <f aca="false">ROUND(S51*(1+N(Debts!$D$8)/12),2)</f>
        <v>0</v>
      </c>
      <c r="AD52" s="56" t="n">
        <f aca="false">ROUND(T51*(1+N(Debts!$D$9)/12),2)</f>
        <v>0</v>
      </c>
      <c r="AE52" s="56" t="n">
        <f aca="false">ROUND(U51*(1+N(Debts!$D$10)/12),2)</f>
        <v>0</v>
      </c>
      <c r="AF52" s="56" t="n">
        <f aca="false">ROUND(V51*(1+N(Debts!$D$11)/12),2)</f>
        <v>0</v>
      </c>
      <c r="AG52" s="56" t="n">
        <f aca="false">ROUND(W51*(1+N(Debts!$D$12)/12),2)</f>
        <v>0</v>
      </c>
      <c r="AH52" s="56" t="n">
        <f aca="false">ROUND(X51*(1+N(Debts!$D$13)/12),2)</f>
        <v>0</v>
      </c>
      <c r="AI52" s="56" t="n">
        <f aca="false">ROUND(Y51*(1+N(Debts!$D$14)/12),2)</f>
        <v>0</v>
      </c>
      <c r="AJ52" s="56" t="n">
        <f aca="false">MIN(Z52,MAX(0,N(Debts!$E$5)))</f>
        <v>0</v>
      </c>
      <c r="AK52" s="56" t="n">
        <f aca="false">MIN(AA52,MAX(0,N(Debts!$E$6)))</f>
        <v>0</v>
      </c>
      <c r="AL52" s="56" t="n">
        <f aca="false">MIN(AB52,MAX(0,N(Debts!$E$7)))</f>
        <v>0</v>
      </c>
      <c r="AM52" s="56" t="n">
        <f aca="false">MIN(AC52,MAX(0,N(Debts!$E$8)))</f>
        <v>0</v>
      </c>
      <c r="AN52" s="56" t="n">
        <f aca="false">MIN(AD52,MAX(0,N(Debts!$E$9)))</f>
        <v>0</v>
      </c>
      <c r="AO52" s="56" t="n">
        <f aca="false">MIN(AE52,MAX(0,N(Debts!$E$10)))</f>
        <v>0</v>
      </c>
      <c r="AP52" s="56" t="n">
        <f aca="false">MIN(AF52,MAX(0,N(Debts!$E$11)))</f>
        <v>0</v>
      </c>
      <c r="AQ52" s="56" t="n">
        <f aca="false">MIN(AG52,MAX(0,N(Debts!$E$12)))</f>
        <v>0</v>
      </c>
      <c r="AR52" s="56" t="n">
        <f aca="false">MIN(AH52,MAX(0,N(Debts!$E$13)))</f>
        <v>0</v>
      </c>
      <c r="AS52" s="56" t="n">
        <f aca="false">MIN(AI52,MAX(0,N(Debts!$E$14)))</f>
        <v>0</v>
      </c>
    </row>
    <row r="53" customFormat="false" ht="15" hidden="false" customHeight="false" outlineLevel="0" collapsed="false">
      <c r="A53" s="53" t="n">
        <v>49</v>
      </c>
      <c r="B53" s="54" t="n">
        <f aca="false">EDATE('Start Here'!$B$8,48)</f>
        <v>47788</v>
      </c>
      <c r="C53" s="42" t="n">
        <f aca="false">SUM(F53:O53)</f>
        <v>0</v>
      </c>
      <c r="D53" s="42" t="n">
        <f aca="false">ROUND(SUM($Z53:$AI53)-SUM(P52:Y52),2)</f>
        <v>0</v>
      </c>
      <c r="E53" s="55" t="n">
        <f aca="false">SUM(P53:Y53)</f>
        <v>0</v>
      </c>
      <c r="F53" s="42" t="n">
        <f aca="false">AJ53+MIN(Z53-AJ53,MAX(0,'Start Here'!$B$10-SUM($AJ53:$AS53)-SUMPRODUCT(($Z$3:$AI$3&lt;Z$3)*($Z53:$AI53-$AJ53:$AS53))))</f>
        <v>0</v>
      </c>
      <c r="G53" s="42" t="n">
        <f aca="false">AK53+MIN(AA53-AK53,MAX(0,'Start Here'!$B$10-SUM($AJ53:$AS53)-SUMPRODUCT(($Z$3:$AI$3&lt;AA$3)*($Z53:$AI53-$AJ53:$AS53))))</f>
        <v>0</v>
      </c>
      <c r="H53" s="42" t="n">
        <f aca="false">AL53+MIN(AB53-AL53,MAX(0,'Start Here'!$B$10-SUM($AJ53:$AS53)-SUMPRODUCT(($Z$3:$AI$3&lt;AB$3)*($Z53:$AI53-$AJ53:$AS53))))</f>
        <v>0</v>
      </c>
      <c r="I53" s="42" t="n">
        <f aca="false">AM53+MIN(AC53-AM53,MAX(0,'Start Here'!$B$10-SUM($AJ53:$AS53)-SUMPRODUCT(($Z$3:$AI$3&lt;AC$3)*($Z53:$AI53-$AJ53:$AS53))))</f>
        <v>0</v>
      </c>
      <c r="J53" s="42" t="n">
        <f aca="false">AN53+MIN(AD53-AN53,MAX(0,'Start Here'!$B$10-SUM($AJ53:$AS53)-SUMPRODUCT(($Z$3:$AI$3&lt;AD$3)*($Z53:$AI53-$AJ53:$AS53))))</f>
        <v>0</v>
      </c>
      <c r="K53" s="42" t="n">
        <f aca="false">AO53+MIN(AE53-AO53,MAX(0,'Start Here'!$B$10-SUM($AJ53:$AS53)-SUMPRODUCT(($Z$3:$AI$3&lt;AE$3)*($Z53:$AI53-$AJ53:$AS53))))</f>
        <v>0</v>
      </c>
      <c r="L53" s="42" t="n">
        <f aca="false">AP53+MIN(AF53-AP53,MAX(0,'Start Here'!$B$10-SUM($AJ53:$AS53)-SUMPRODUCT(($Z$3:$AI$3&lt;AF$3)*($Z53:$AI53-$AJ53:$AS53))))</f>
        <v>0</v>
      </c>
      <c r="M53" s="42" t="n">
        <f aca="false">AQ53+MIN(AG53-AQ53,MAX(0,'Start Here'!$B$10-SUM($AJ53:$AS53)-SUMPRODUCT(($Z$3:$AI$3&lt;AG$3)*($Z53:$AI53-$AJ53:$AS53))))</f>
        <v>0</v>
      </c>
      <c r="N53" s="42" t="n">
        <f aca="false">AR53+MIN(AH53-AR53,MAX(0,'Start Here'!$B$10-SUM($AJ53:$AS53)-SUMPRODUCT(($Z$3:$AI$3&lt;AH$3)*($Z53:$AI53-$AJ53:$AS53))))</f>
        <v>0</v>
      </c>
      <c r="O53" s="42" t="n">
        <f aca="false">AS53+MIN(AI53-AS53,MAX(0,'Start Here'!$B$10-SUM($AJ53:$AS53)-SUMPRODUCT(($Z$3:$AI$3&lt;AI$3)*($Z53:$AI53-$AJ53:$AS53))))</f>
        <v>0</v>
      </c>
      <c r="P53" s="42" t="n">
        <f aca="false">ROUND(Z53-F53,2)</f>
        <v>0</v>
      </c>
      <c r="Q53" s="42" t="n">
        <f aca="false">ROUND(AA53-G53,2)</f>
        <v>0</v>
      </c>
      <c r="R53" s="42" t="n">
        <f aca="false">ROUND(AB53-H53,2)</f>
        <v>0</v>
      </c>
      <c r="S53" s="42" t="n">
        <f aca="false">ROUND(AC53-I53,2)</f>
        <v>0</v>
      </c>
      <c r="T53" s="42" t="n">
        <f aca="false">ROUND(AD53-J53,2)</f>
        <v>0</v>
      </c>
      <c r="U53" s="42" t="n">
        <f aca="false">ROUND(AE53-K53,2)</f>
        <v>0</v>
      </c>
      <c r="V53" s="42" t="n">
        <f aca="false">ROUND(AF53-L53,2)</f>
        <v>0</v>
      </c>
      <c r="W53" s="42" t="n">
        <f aca="false">ROUND(AG53-M53,2)</f>
        <v>0</v>
      </c>
      <c r="X53" s="42" t="n">
        <f aca="false">ROUND(AH53-N53,2)</f>
        <v>0</v>
      </c>
      <c r="Y53" s="42" t="n">
        <f aca="false">ROUND(AI53-O53,2)</f>
        <v>0</v>
      </c>
      <c r="Z53" s="56" t="n">
        <f aca="false">ROUND(P52*(1+N(Debts!$D$5)/12),2)</f>
        <v>0</v>
      </c>
      <c r="AA53" s="56" t="n">
        <f aca="false">ROUND(Q52*(1+N(Debts!$D$6)/12),2)</f>
        <v>0</v>
      </c>
      <c r="AB53" s="56" t="n">
        <f aca="false">ROUND(R52*(1+N(Debts!$D$7)/12),2)</f>
        <v>0</v>
      </c>
      <c r="AC53" s="56" t="n">
        <f aca="false">ROUND(S52*(1+N(Debts!$D$8)/12),2)</f>
        <v>0</v>
      </c>
      <c r="AD53" s="56" t="n">
        <f aca="false">ROUND(T52*(1+N(Debts!$D$9)/12),2)</f>
        <v>0</v>
      </c>
      <c r="AE53" s="56" t="n">
        <f aca="false">ROUND(U52*(1+N(Debts!$D$10)/12),2)</f>
        <v>0</v>
      </c>
      <c r="AF53" s="56" t="n">
        <f aca="false">ROUND(V52*(1+N(Debts!$D$11)/12),2)</f>
        <v>0</v>
      </c>
      <c r="AG53" s="56" t="n">
        <f aca="false">ROUND(W52*(1+N(Debts!$D$12)/12),2)</f>
        <v>0</v>
      </c>
      <c r="AH53" s="56" t="n">
        <f aca="false">ROUND(X52*(1+N(Debts!$D$13)/12),2)</f>
        <v>0</v>
      </c>
      <c r="AI53" s="56" t="n">
        <f aca="false">ROUND(Y52*(1+N(Debts!$D$14)/12),2)</f>
        <v>0</v>
      </c>
      <c r="AJ53" s="56" t="n">
        <f aca="false">MIN(Z53,MAX(0,N(Debts!$E$5)))</f>
        <v>0</v>
      </c>
      <c r="AK53" s="56" t="n">
        <f aca="false">MIN(AA53,MAX(0,N(Debts!$E$6)))</f>
        <v>0</v>
      </c>
      <c r="AL53" s="56" t="n">
        <f aca="false">MIN(AB53,MAX(0,N(Debts!$E$7)))</f>
        <v>0</v>
      </c>
      <c r="AM53" s="56" t="n">
        <f aca="false">MIN(AC53,MAX(0,N(Debts!$E$8)))</f>
        <v>0</v>
      </c>
      <c r="AN53" s="56" t="n">
        <f aca="false">MIN(AD53,MAX(0,N(Debts!$E$9)))</f>
        <v>0</v>
      </c>
      <c r="AO53" s="56" t="n">
        <f aca="false">MIN(AE53,MAX(0,N(Debts!$E$10)))</f>
        <v>0</v>
      </c>
      <c r="AP53" s="56" t="n">
        <f aca="false">MIN(AF53,MAX(0,N(Debts!$E$11)))</f>
        <v>0</v>
      </c>
      <c r="AQ53" s="56" t="n">
        <f aca="false">MIN(AG53,MAX(0,N(Debts!$E$12)))</f>
        <v>0</v>
      </c>
      <c r="AR53" s="56" t="n">
        <f aca="false">MIN(AH53,MAX(0,N(Debts!$E$13)))</f>
        <v>0</v>
      </c>
      <c r="AS53" s="56" t="n">
        <f aca="false">MIN(AI53,MAX(0,N(Debts!$E$14)))</f>
        <v>0</v>
      </c>
    </row>
    <row r="54" customFormat="false" ht="15" hidden="false" customHeight="false" outlineLevel="0" collapsed="false">
      <c r="A54" s="53" t="n">
        <v>50</v>
      </c>
      <c r="B54" s="54" t="n">
        <f aca="false">EDATE('Start Here'!$B$8,49)</f>
        <v>47818</v>
      </c>
      <c r="C54" s="42" t="n">
        <f aca="false">SUM(F54:O54)</f>
        <v>0</v>
      </c>
      <c r="D54" s="42" t="n">
        <f aca="false">ROUND(SUM($Z54:$AI54)-SUM(P53:Y53),2)</f>
        <v>0</v>
      </c>
      <c r="E54" s="55" t="n">
        <f aca="false">SUM(P54:Y54)</f>
        <v>0</v>
      </c>
      <c r="F54" s="42" t="n">
        <f aca="false">AJ54+MIN(Z54-AJ54,MAX(0,'Start Here'!$B$10-SUM($AJ54:$AS54)-SUMPRODUCT(($Z$3:$AI$3&lt;Z$3)*($Z54:$AI54-$AJ54:$AS54))))</f>
        <v>0</v>
      </c>
      <c r="G54" s="42" t="n">
        <f aca="false">AK54+MIN(AA54-AK54,MAX(0,'Start Here'!$B$10-SUM($AJ54:$AS54)-SUMPRODUCT(($Z$3:$AI$3&lt;AA$3)*($Z54:$AI54-$AJ54:$AS54))))</f>
        <v>0</v>
      </c>
      <c r="H54" s="42" t="n">
        <f aca="false">AL54+MIN(AB54-AL54,MAX(0,'Start Here'!$B$10-SUM($AJ54:$AS54)-SUMPRODUCT(($Z$3:$AI$3&lt;AB$3)*($Z54:$AI54-$AJ54:$AS54))))</f>
        <v>0</v>
      </c>
      <c r="I54" s="42" t="n">
        <f aca="false">AM54+MIN(AC54-AM54,MAX(0,'Start Here'!$B$10-SUM($AJ54:$AS54)-SUMPRODUCT(($Z$3:$AI$3&lt;AC$3)*($Z54:$AI54-$AJ54:$AS54))))</f>
        <v>0</v>
      </c>
      <c r="J54" s="42" t="n">
        <f aca="false">AN54+MIN(AD54-AN54,MAX(0,'Start Here'!$B$10-SUM($AJ54:$AS54)-SUMPRODUCT(($Z$3:$AI$3&lt;AD$3)*($Z54:$AI54-$AJ54:$AS54))))</f>
        <v>0</v>
      </c>
      <c r="K54" s="42" t="n">
        <f aca="false">AO54+MIN(AE54-AO54,MAX(0,'Start Here'!$B$10-SUM($AJ54:$AS54)-SUMPRODUCT(($Z$3:$AI$3&lt;AE$3)*($Z54:$AI54-$AJ54:$AS54))))</f>
        <v>0</v>
      </c>
      <c r="L54" s="42" t="n">
        <f aca="false">AP54+MIN(AF54-AP54,MAX(0,'Start Here'!$B$10-SUM($AJ54:$AS54)-SUMPRODUCT(($Z$3:$AI$3&lt;AF$3)*($Z54:$AI54-$AJ54:$AS54))))</f>
        <v>0</v>
      </c>
      <c r="M54" s="42" t="n">
        <f aca="false">AQ54+MIN(AG54-AQ54,MAX(0,'Start Here'!$B$10-SUM($AJ54:$AS54)-SUMPRODUCT(($Z$3:$AI$3&lt;AG$3)*($Z54:$AI54-$AJ54:$AS54))))</f>
        <v>0</v>
      </c>
      <c r="N54" s="42" t="n">
        <f aca="false">AR54+MIN(AH54-AR54,MAX(0,'Start Here'!$B$10-SUM($AJ54:$AS54)-SUMPRODUCT(($Z$3:$AI$3&lt;AH$3)*($Z54:$AI54-$AJ54:$AS54))))</f>
        <v>0</v>
      </c>
      <c r="O54" s="42" t="n">
        <f aca="false">AS54+MIN(AI54-AS54,MAX(0,'Start Here'!$B$10-SUM($AJ54:$AS54)-SUMPRODUCT(($Z$3:$AI$3&lt;AI$3)*($Z54:$AI54-$AJ54:$AS54))))</f>
        <v>0</v>
      </c>
      <c r="P54" s="42" t="n">
        <f aca="false">ROUND(Z54-F54,2)</f>
        <v>0</v>
      </c>
      <c r="Q54" s="42" t="n">
        <f aca="false">ROUND(AA54-G54,2)</f>
        <v>0</v>
      </c>
      <c r="R54" s="42" t="n">
        <f aca="false">ROUND(AB54-H54,2)</f>
        <v>0</v>
      </c>
      <c r="S54" s="42" t="n">
        <f aca="false">ROUND(AC54-I54,2)</f>
        <v>0</v>
      </c>
      <c r="T54" s="42" t="n">
        <f aca="false">ROUND(AD54-J54,2)</f>
        <v>0</v>
      </c>
      <c r="U54" s="42" t="n">
        <f aca="false">ROUND(AE54-K54,2)</f>
        <v>0</v>
      </c>
      <c r="V54" s="42" t="n">
        <f aca="false">ROUND(AF54-L54,2)</f>
        <v>0</v>
      </c>
      <c r="W54" s="42" t="n">
        <f aca="false">ROUND(AG54-M54,2)</f>
        <v>0</v>
      </c>
      <c r="X54" s="42" t="n">
        <f aca="false">ROUND(AH54-N54,2)</f>
        <v>0</v>
      </c>
      <c r="Y54" s="42" t="n">
        <f aca="false">ROUND(AI54-O54,2)</f>
        <v>0</v>
      </c>
      <c r="Z54" s="56" t="n">
        <f aca="false">ROUND(P53*(1+N(Debts!$D$5)/12),2)</f>
        <v>0</v>
      </c>
      <c r="AA54" s="56" t="n">
        <f aca="false">ROUND(Q53*(1+N(Debts!$D$6)/12),2)</f>
        <v>0</v>
      </c>
      <c r="AB54" s="56" t="n">
        <f aca="false">ROUND(R53*(1+N(Debts!$D$7)/12),2)</f>
        <v>0</v>
      </c>
      <c r="AC54" s="56" t="n">
        <f aca="false">ROUND(S53*(1+N(Debts!$D$8)/12),2)</f>
        <v>0</v>
      </c>
      <c r="AD54" s="56" t="n">
        <f aca="false">ROUND(T53*(1+N(Debts!$D$9)/12),2)</f>
        <v>0</v>
      </c>
      <c r="AE54" s="56" t="n">
        <f aca="false">ROUND(U53*(1+N(Debts!$D$10)/12),2)</f>
        <v>0</v>
      </c>
      <c r="AF54" s="56" t="n">
        <f aca="false">ROUND(V53*(1+N(Debts!$D$11)/12),2)</f>
        <v>0</v>
      </c>
      <c r="AG54" s="56" t="n">
        <f aca="false">ROUND(W53*(1+N(Debts!$D$12)/12),2)</f>
        <v>0</v>
      </c>
      <c r="AH54" s="56" t="n">
        <f aca="false">ROUND(X53*(1+N(Debts!$D$13)/12),2)</f>
        <v>0</v>
      </c>
      <c r="AI54" s="56" t="n">
        <f aca="false">ROUND(Y53*(1+N(Debts!$D$14)/12),2)</f>
        <v>0</v>
      </c>
      <c r="AJ54" s="56" t="n">
        <f aca="false">MIN(Z54,MAX(0,N(Debts!$E$5)))</f>
        <v>0</v>
      </c>
      <c r="AK54" s="56" t="n">
        <f aca="false">MIN(AA54,MAX(0,N(Debts!$E$6)))</f>
        <v>0</v>
      </c>
      <c r="AL54" s="56" t="n">
        <f aca="false">MIN(AB54,MAX(0,N(Debts!$E$7)))</f>
        <v>0</v>
      </c>
      <c r="AM54" s="56" t="n">
        <f aca="false">MIN(AC54,MAX(0,N(Debts!$E$8)))</f>
        <v>0</v>
      </c>
      <c r="AN54" s="56" t="n">
        <f aca="false">MIN(AD54,MAX(0,N(Debts!$E$9)))</f>
        <v>0</v>
      </c>
      <c r="AO54" s="56" t="n">
        <f aca="false">MIN(AE54,MAX(0,N(Debts!$E$10)))</f>
        <v>0</v>
      </c>
      <c r="AP54" s="56" t="n">
        <f aca="false">MIN(AF54,MAX(0,N(Debts!$E$11)))</f>
        <v>0</v>
      </c>
      <c r="AQ54" s="56" t="n">
        <f aca="false">MIN(AG54,MAX(0,N(Debts!$E$12)))</f>
        <v>0</v>
      </c>
      <c r="AR54" s="56" t="n">
        <f aca="false">MIN(AH54,MAX(0,N(Debts!$E$13)))</f>
        <v>0</v>
      </c>
      <c r="AS54" s="56" t="n">
        <f aca="false">MIN(AI54,MAX(0,N(Debts!$E$14)))</f>
        <v>0</v>
      </c>
    </row>
    <row r="55" customFormat="false" ht="15" hidden="false" customHeight="false" outlineLevel="0" collapsed="false">
      <c r="A55" s="53" t="n">
        <v>51</v>
      </c>
      <c r="B55" s="54" t="n">
        <f aca="false">EDATE('Start Here'!$B$8,50)</f>
        <v>47849</v>
      </c>
      <c r="C55" s="42" t="n">
        <f aca="false">SUM(F55:O55)</f>
        <v>0</v>
      </c>
      <c r="D55" s="42" t="n">
        <f aca="false">ROUND(SUM($Z55:$AI55)-SUM(P54:Y54),2)</f>
        <v>0</v>
      </c>
      <c r="E55" s="55" t="n">
        <f aca="false">SUM(P55:Y55)</f>
        <v>0</v>
      </c>
      <c r="F55" s="42" t="n">
        <f aca="false">AJ55+MIN(Z55-AJ55,MAX(0,'Start Here'!$B$10-SUM($AJ55:$AS55)-SUMPRODUCT(($Z$3:$AI$3&lt;Z$3)*($Z55:$AI55-$AJ55:$AS55))))</f>
        <v>0</v>
      </c>
      <c r="G55" s="42" t="n">
        <f aca="false">AK55+MIN(AA55-AK55,MAX(0,'Start Here'!$B$10-SUM($AJ55:$AS55)-SUMPRODUCT(($Z$3:$AI$3&lt;AA$3)*($Z55:$AI55-$AJ55:$AS55))))</f>
        <v>0</v>
      </c>
      <c r="H55" s="42" t="n">
        <f aca="false">AL55+MIN(AB55-AL55,MAX(0,'Start Here'!$B$10-SUM($AJ55:$AS55)-SUMPRODUCT(($Z$3:$AI$3&lt;AB$3)*($Z55:$AI55-$AJ55:$AS55))))</f>
        <v>0</v>
      </c>
      <c r="I55" s="42" t="n">
        <f aca="false">AM55+MIN(AC55-AM55,MAX(0,'Start Here'!$B$10-SUM($AJ55:$AS55)-SUMPRODUCT(($Z$3:$AI$3&lt;AC$3)*($Z55:$AI55-$AJ55:$AS55))))</f>
        <v>0</v>
      </c>
      <c r="J55" s="42" t="n">
        <f aca="false">AN55+MIN(AD55-AN55,MAX(0,'Start Here'!$B$10-SUM($AJ55:$AS55)-SUMPRODUCT(($Z$3:$AI$3&lt;AD$3)*($Z55:$AI55-$AJ55:$AS55))))</f>
        <v>0</v>
      </c>
      <c r="K55" s="42" t="n">
        <f aca="false">AO55+MIN(AE55-AO55,MAX(0,'Start Here'!$B$10-SUM($AJ55:$AS55)-SUMPRODUCT(($Z$3:$AI$3&lt;AE$3)*($Z55:$AI55-$AJ55:$AS55))))</f>
        <v>0</v>
      </c>
      <c r="L55" s="42" t="n">
        <f aca="false">AP55+MIN(AF55-AP55,MAX(0,'Start Here'!$B$10-SUM($AJ55:$AS55)-SUMPRODUCT(($Z$3:$AI$3&lt;AF$3)*($Z55:$AI55-$AJ55:$AS55))))</f>
        <v>0</v>
      </c>
      <c r="M55" s="42" t="n">
        <f aca="false">AQ55+MIN(AG55-AQ55,MAX(0,'Start Here'!$B$10-SUM($AJ55:$AS55)-SUMPRODUCT(($Z$3:$AI$3&lt;AG$3)*($Z55:$AI55-$AJ55:$AS55))))</f>
        <v>0</v>
      </c>
      <c r="N55" s="42" t="n">
        <f aca="false">AR55+MIN(AH55-AR55,MAX(0,'Start Here'!$B$10-SUM($AJ55:$AS55)-SUMPRODUCT(($Z$3:$AI$3&lt;AH$3)*($Z55:$AI55-$AJ55:$AS55))))</f>
        <v>0</v>
      </c>
      <c r="O55" s="42" t="n">
        <f aca="false">AS55+MIN(AI55-AS55,MAX(0,'Start Here'!$B$10-SUM($AJ55:$AS55)-SUMPRODUCT(($Z$3:$AI$3&lt;AI$3)*($Z55:$AI55-$AJ55:$AS55))))</f>
        <v>0</v>
      </c>
      <c r="P55" s="42" t="n">
        <f aca="false">ROUND(Z55-F55,2)</f>
        <v>0</v>
      </c>
      <c r="Q55" s="42" t="n">
        <f aca="false">ROUND(AA55-G55,2)</f>
        <v>0</v>
      </c>
      <c r="R55" s="42" t="n">
        <f aca="false">ROUND(AB55-H55,2)</f>
        <v>0</v>
      </c>
      <c r="S55" s="42" t="n">
        <f aca="false">ROUND(AC55-I55,2)</f>
        <v>0</v>
      </c>
      <c r="T55" s="42" t="n">
        <f aca="false">ROUND(AD55-J55,2)</f>
        <v>0</v>
      </c>
      <c r="U55" s="42" t="n">
        <f aca="false">ROUND(AE55-K55,2)</f>
        <v>0</v>
      </c>
      <c r="V55" s="42" t="n">
        <f aca="false">ROUND(AF55-L55,2)</f>
        <v>0</v>
      </c>
      <c r="W55" s="42" t="n">
        <f aca="false">ROUND(AG55-M55,2)</f>
        <v>0</v>
      </c>
      <c r="X55" s="42" t="n">
        <f aca="false">ROUND(AH55-N55,2)</f>
        <v>0</v>
      </c>
      <c r="Y55" s="42" t="n">
        <f aca="false">ROUND(AI55-O55,2)</f>
        <v>0</v>
      </c>
      <c r="Z55" s="56" t="n">
        <f aca="false">ROUND(P54*(1+N(Debts!$D$5)/12),2)</f>
        <v>0</v>
      </c>
      <c r="AA55" s="56" t="n">
        <f aca="false">ROUND(Q54*(1+N(Debts!$D$6)/12),2)</f>
        <v>0</v>
      </c>
      <c r="AB55" s="56" t="n">
        <f aca="false">ROUND(R54*(1+N(Debts!$D$7)/12),2)</f>
        <v>0</v>
      </c>
      <c r="AC55" s="56" t="n">
        <f aca="false">ROUND(S54*(1+N(Debts!$D$8)/12),2)</f>
        <v>0</v>
      </c>
      <c r="AD55" s="56" t="n">
        <f aca="false">ROUND(T54*(1+N(Debts!$D$9)/12),2)</f>
        <v>0</v>
      </c>
      <c r="AE55" s="56" t="n">
        <f aca="false">ROUND(U54*(1+N(Debts!$D$10)/12),2)</f>
        <v>0</v>
      </c>
      <c r="AF55" s="56" t="n">
        <f aca="false">ROUND(V54*(1+N(Debts!$D$11)/12),2)</f>
        <v>0</v>
      </c>
      <c r="AG55" s="56" t="n">
        <f aca="false">ROUND(W54*(1+N(Debts!$D$12)/12),2)</f>
        <v>0</v>
      </c>
      <c r="AH55" s="56" t="n">
        <f aca="false">ROUND(X54*(1+N(Debts!$D$13)/12),2)</f>
        <v>0</v>
      </c>
      <c r="AI55" s="56" t="n">
        <f aca="false">ROUND(Y54*(1+N(Debts!$D$14)/12),2)</f>
        <v>0</v>
      </c>
      <c r="AJ55" s="56" t="n">
        <f aca="false">MIN(Z55,MAX(0,N(Debts!$E$5)))</f>
        <v>0</v>
      </c>
      <c r="AK55" s="56" t="n">
        <f aca="false">MIN(AA55,MAX(0,N(Debts!$E$6)))</f>
        <v>0</v>
      </c>
      <c r="AL55" s="56" t="n">
        <f aca="false">MIN(AB55,MAX(0,N(Debts!$E$7)))</f>
        <v>0</v>
      </c>
      <c r="AM55" s="56" t="n">
        <f aca="false">MIN(AC55,MAX(0,N(Debts!$E$8)))</f>
        <v>0</v>
      </c>
      <c r="AN55" s="56" t="n">
        <f aca="false">MIN(AD55,MAX(0,N(Debts!$E$9)))</f>
        <v>0</v>
      </c>
      <c r="AO55" s="56" t="n">
        <f aca="false">MIN(AE55,MAX(0,N(Debts!$E$10)))</f>
        <v>0</v>
      </c>
      <c r="AP55" s="56" t="n">
        <f aca="false">MIN(AF55,MAX(0,N(Debts!$E$11)))</f>
        <v>0</v>
      </c>
      <c r="AQ55" s="56" t="n">
        <f aca="false">MIN(AG55,MAX(0,N(Debts!$E$12)))</f>
        <v>0</v>
      </c>
      <c r="AR55" s="56" t="n">
        <f aca="false">MIN(AH55,MAX(0,N(Debts!$E$13)))</f>
        <v>0</v>
      </c>
      <c r="AS55" s="56" t="n">
        <f aca="false">MIN(AI55,MAX(0,N(Debts!$E$14)))</f>
        <v>0</v>
      </c>
    </row>
    <row r="56" customFormat="false" ht="15" hidden="false" customHeight="false" outlineLevel="0" collapsed="false">
      <c r="A56" s="53" t="n">
        <v>52</v>
      </c>
      <c r="B56" s="54" t="n">
        <f aca="false">EDATE('Start Here'!$B$8,51)</f>
        <v>47880</v>
      </c>
      <c r="C56" s="42" t="n">
        <f aca="false">SUM(F56:O56)</f>
        <v>0</v>
      </c>
      <c r="D56" s="42" t="n">
        <f aca="false">ROUND(SUM($Z56:$AI56)-SUM(P55:Y55),2)</f>
        <v>0</v>
      </c>
      <c r="E56" s="55" t="n">
        <f aca="false">SUM(P56:Y56)</f>
        <v>0</v>
      </c>
      <c r="F56" s="42" t="n">
        <f aca="false">AJ56+MIN(Z56-AJ56,MAX(0,'Start Here'!$B$10-SUM($AJ56:$AS56)-SUMPRODUCT(($Z$3:$AI$3&lt;Z$3)*($Z56:$AI56-$AJ56:$AS56))))</f>
        <v>0</v>
      </c>
      <c r="G56" s="42" t="n">
        <f aca="false">AK56+MIN(AA56-AK56,MAX(0,'Start Here'!$B$10-SUM($AJ56:$AS56)-SUMPRODUCT(($Z$3:$AI$3&lt;AA$3)*($Z56:$AI56-$AJ56:$AS56))))</f>
        <v>0</v>
      </c>
      <c r="H56" s="42" t="n">
        <f aca="false">AL56+MIN(AB56-AL56,MAX(0,'Start Here'!$B$10-SUM($AJ56:$AS56)-SUMPRODUCT(($Z$3:$AI$3&lt;AB$3)*($Z56:$AI56-$AJ56:$AS56))))</f>
        <v>0</v>
      </c>
      <c r="I56" s="42" t="n">
        <f aca="false">AM56+MIN(AC56-AM56,MAX(0,'Start Here'!$B$10-SUM($AJ56:$AS56)-SUMPRODUCT(($Z$3:$AI$3&lt;AC$3)*($Z56:$AI56-$AJ56:$AS56))))</f>
        <v>0</v>
      </c>
      <c r="J56" s="42" t="n">
        <f aca="false">AN56+MIN(AD56-AN56,MAX(0,'Start Here'!$B$10-SUM($AJ56:$AS56)-SUMPRODUCT(($Z$3:$AI$3&lt;AD$3)*($Z56:$AI56-$AJ56:$AS56))))</f>
        <v>0</v>
      </c>
      <c r="K56" s="42" t="n">
        <f aca="false">AO56+MIN(AE56-AO56,MAX(0,'Start Here'!$B$10-SUM($AJ56:$AS56)-SUMPRODUCT(($Z$3:$AI$3&lt;AE$3)*($Z56:$AI56-$AJ56:$AS56))))</f>
        <v>0</v>
      </c>
      <c r="L56" s="42" t="n">
        <f aca="false">AP56+MIN(AF56-AP56,MAX(0,'Start Here'!$B$10-SUM($AJ56:$AS56)-SUMPRODUCT(($Z$3:$AI$3&lt;AF$3)*($Z56:$AI56-$AJ56:$AS56))))</f>
        <v>0</v>
      </c>
      <c r="M56" s="42" t="n">
        <f aca="false">AQ56+MIN(AG56-AQ56,MAX(0,'Start Here'!$B$10-SUM($AJ56:$AS56)-SUMPRODUCT(($Z$3:$AI$3&lt;AG$3)*($Z56:$AI56-$AJ56:$AS56))))</f>
        <v>0</v>
      </c>
      <c r="N56" s="42" t="n">
        <f aca="false">AR56+MIN(AH56-AR56,MAX(0,'Start Here'!$B$10-SUM($AJ56:$AS56)-SUMPRODUCT(($Z$3:$AI$3&lt;AH$3)*($Z56:$AI56-$AJ56:$AS56))))</f>
        <v>0</v>
      </c>
      <c r="O56" s="42" t="n">
        <f aca="false">AS56+MIN(AI56-AS56,MAX(0,'Start Here'!$B$10-SUM($AJ56:$AS56)-SUMPRODUCT(($Z$3:$AI$3&lt;AI$3)*($Z56:$AI56-$AJ56:$AS56))))</f>
        <v>0</v>
      </c>
      <c r="P56" s="42" t="n">
        <f aca="false">ROUND(Z56-F56,2)</f>
        <v>0</v>
      </c>
      <c r="Q56" s="42" t="n">
        <f aca="false">ROUND(AA56-G56,2)</f>
        <v>0</v>
      </c>
      <c r="R56" s="42" t="n">
        <f aca="false">ROUND(AB56-H56,2)</f>
        <v>0</v>
      </c>
      <c r="S56" s="42" t="n">
        <f aca="false">ROUND(AC56-I56,2)</f>
        <v>0</v>
      </c>
      <c r="T56" s="42" t="n">
        <f aca="false">ROUND(AD56-J56,2)</f>
        <v>0</v>
      </c>
      <c r="U56" s="42" t="n">
        <f aca="false">ROUND(AE56-K56,2)</f>
        <v>0</v>
      </c>
      <c r="V56" s="42" t="n">
        <f aca="false">ROUND(AF56-L56,2)</f>
        <v>0</v>
      </c>
      <c r="W56" s="42" t="n">
        <f aca="false">ROUND(AG56-M56,2)</f>
        <v>0</v>
      </c>
      <c r="X56" s="42" t="n">
        <f aca="false">ROUND(AH56-N56,2)</f>
        <v>0</v>
      </c>
      <c r="Y56" s="42" t="n">
        <f aca="false">ROUND(AI56-O56,2)</f>
        <v>0</v>
      </c>
      <c r="Z56" s="56" t="n">
        <f aca="false">ROUND(P55*(1+N(Debts!$D$5)/12),2)</f>
        <v>0</v>
      </c>
      <c r="AA56" s="56" t="n">
        <f aca="false">ROUND(Q55*(1+N(Debts!$D$6)/12),2)</f>
        <v>0</v>
      </c>
      <c r="AB56" s="56" t="n">
        <f aca="false">ROUND(R55*(1+N(Debts!$D$7)/12),2)</f>
        <v>0</v>
      </c>
      <c r="AC56" s="56" t="n">
        <f aca="false">ROUND(S55*(1+N(Debts!$D$8)/12),2)</f>
        <v>0</v>
      </c>
      <c r="AD56" s="56" t="n">
        <f aca="false">ROUND(T55*(1+N(Debts!$D$9)/12),2)</f>
        <v>0</v>
      </c>
      <c r="AE56" s="56" t="n">
        <f aca="false">ROUND(U55*(1+N(Debts!$D$10)/12),2)</f>
        <v>0</v>
      </c>
      <c r="AF56" s="56" t="n">
        <f aca="false">ROUND(V55*(1+N(Debts!$D$11)/12),2)</f>
        <v>0</v>
      </c>
      <c r="AG56" s="56" t="n">
        <f aca="false">ROUND(W55*(1+N(Debts!$D$12)/12),2)</f>
        <v>0</v>
      </c>
      <c r="AH56" s="56" t="n">
        <f aca="false">ROUND(X55*(1+N(Debts!$D$13)/12),2)</f>
        <v>0</v>
      </c>
      <c r="AI56" s="56" t="n">
        <f aca="false">ROUND(Y55*(1+N(Debts!$D$14)/12),2)</f>
        <v>0</v>
      </c>
      <c r="AJ56" s="56" t="n">
        <f aca="false">MIN(Z56,MAX(0,N(Debts!$E$5)))</f>
        <v>0</v>
      </c>
      <c r="AK56" s="56" t="n">
        <f aca="false">MIN(AA56,MAX(0,N(Debts!$E$6)))</f>
        <v>0</v>
      </c>
      <c r="AL56" s="56" t="n">
        <f aca="false">MIN(AB56,MAX(0,N(Debts!$E$7)))</f>
        <v>0</v>
      </c>
      <c r="AM56" s="56" t="n">
        <f aca="false">MIN(AC56,MAX(0,N(Debts!$E$8)))</f>
        <v>0</v>
      </c>
      <c r="AN56" s="56" t="n">
        <f aca="false">MIN(AD56,MAX(0,N(Debts!$E$9)))</f>
        <v>0</v>
      </c>
      <c r="AO56" s="56" t="n">
        <f aca="false">MIN(AE56,MAX(0,N(Debts!$E$10)))</f>
        <v>0</v>
      </c>
      <c r="AP56" s="56" t="n">
        <f aca="false">MIN(AF56,MAX(0,N(Debts!$E$11)))</f>
        <v>0</v>
      </c>
      <c r="AQ56" s="56" t="n">
        <f aca="false">MIN(AG56,MAX(0,N(Debts!$E$12)))</f>
        <v>0</v>
      </c>
      <c r="AR56" s="56" t="n">
        <f aca="false">MIN(AH56,MAX(0,N(Debts!$E$13)))</f>
        <v>0</v>
      </c>
      <c r="AS56" s="56" t="n">
        <f aca="false">MIN(AI56,MAX(0,N(Debts!$E$14)))</f>
        <v>0</v>
      </c>
    </row>
    <row r="57" customFormat="false" ht="15" hidden="false" customHeight="false" outlineLevel="0" collapsed="false">
      <c r="A57" s="53" t="n">
        <v>53</v>
      </c>
      <c r="B57" s="54" t="n">
        <f aca="false">EDATE('Start Here'!$B$8,52)</f>
        <v>47908</v>
      </c>
      <c r="C57" s="42" t="n">
        <f aca="false">SUM(F57:O57)</f>
        <v>0</v>
      </c>
      <c r="D57" s="42" t="n">
        <f aca="false">ROUND(SUM($Z57:$AI57)-SUM(P56:Y56),2)</f>
        <v>0</v>
      </c>
      <c r="E57" s="55" t="n">
        <f aca="false">SUM(P57:Y57)</f>
        <v>0</v>
      </c>
      <c r="F57" s="42" t="n">
        <f aca="false">AJ57+MIN(Z57-AJ57,MAX(0,'Start Here'!$B$10-SUM($AJ57:$AS57)-SUMPRODUCT(($Z$3:$AI$3&lt;Z$3)*($Z57:$AI57-$AJ57:$AS57))))</f>
        <v>0</v>
      </c>
      <c r="G57" s="42" t="n">
        <f aca="false">AK57+MIN(AA57-AK57,MAX(0,'Start Here'!$B$10-SUM($AJ57:$AS57)-SUMPRODUCT(($Z$3:$AI$3&lt;AA$3)*($Z57:$AI57-$AJ57:$AS57))))</f>
        <v>0</v>
      </c>
      <c r="H57" s="42" t="n">
        <f aca="false">AL57+MIN(AB57-AL57,MAX(0,'Start Here'!$B$10-SUM($AJ57:$AS57)-SUMPRODUCT(($Z$3:$AI$3&lt;AB$3)*($Z57:$AI57-$AJ57:$AS57))))</f>
        <v>0</v>
      </c>
      <c r="I57" s="42" t="n">
        <f aca="false">AM57+MIN(AC57-AM57,MAX(0,'Start Here'!$B$10-SUM($AJ57:$AS57)-SUMPRODUCT(($Z$3:$AI$3&lt;AC$3)*($Z57:$AI57-$AJ57:$AS57))))</f>
        <v>0</v>
      </c>
      <c r="J57" s="42" t="n">
        <f aca="false">AN57+MIN(AD57-AN57,MAX(0,'Start Here'!$B$10-SUM($AJ57:$AS57)-SUMPRODUCT(($Z$3:$AI$3&lt;AD$3)*($Z57:$AI57-$AJ57:$AS57))))</f>
        <v>0</v>
      </c>
      <c r="K57" s="42" t="n">
        <f aca="false">AO57+MIN(AE57-AO57,MAX(0,'Start Here'!$B$10-SUM($AJ57:$AS57)-SUMPRODUCT(($Z$3:$AI$3&lt;AE$3)*($Z57:$AI57-$AJ57:$AS57))))</f>
        <v>0</v>
      </c>
      <c r="L57" s="42" t="n">
        <f aca="false">AP57+MIN(AF57-AP57,MAX(0,'Start Here'!$B$10-SUM($AJ57:$AS57)-SUMPRODUCT(($Z$3:$AI$3&lt;AF$3)*($Z57:$AI57-$AJ57:$AS57))))</f>
        <v>0</v>
      </c>
      <c r="M57" s="42" t="n">
        <f aca="false">AQ57+MIN(AG57-AQ57,MAX(0,'Start Here'!$B$10-SUM($AJ57:$AS57)-SUMPRODUCT(($Z$3:$AI$3&lt;AG$3)*($Z57:$AI57-$AJ57:$AS57))))</f>
        <v>0</v>
      </c>
      <c r="N57" s="42" t="n">
        <f aca="false">AR57+MIN(AH57-AR57,MAX(0,'Start Here'!$B$10-SUM($AJ57:$AS57)-SUMPRODUCT(($Z$3:$AI$3&lt;AH$3)*($Z57:$AI57-$AJ57:$AS57))))</f>
        <v>0</v>
      </c>
      <c r="O57" s="42" t="n">
        <f aca="false">AS57+MIN(AI57-AS57,MAX(0,'Start Here'!$B$10-SUM($AJ57:$AS57)-SUMPRODUCT(($Z$3:$AI$3&lt;AI$3)*($Z57:$AI57-$AJ57:$AS57))))</f>
        <v>0</v>
      </c>
      <c r="P57" s="42" t="n">
        <f aca="false">ROUND(Z57-F57,2)</f>
        <v>0</v>
      </c>
      <c r="Q57" s="42" t="n">
        <f aca="false">ROUND(AA57-G57,2)</f>
        <v>0</v>
      </c>
      <c r="R57" s="42" t="n">
        <f aca="false">ROUND(AB57-H57,2)</f>
        <v>0</v>
      </c>
      <c r="S57" s="42" t="n">
        <f aca="false">ROUND(AC57-I57,2)</f>
        <v>0</v>
      </c>
      <c r="T57" s="42" t="n">
        <f aca="false">ROUND(AD57-J57,2)</f>
        <v>0</v>
      </c>
      <c r="U57" s="42" t="n">
        <f aca="false">ROUND(AE57-K57,2)</f>
        <v>0</v>
      </c>
      <c r="V57" s="42" t="n">
        <f aca="false">ROUND(AF57-L57,2)</f>
        <v>0</v>
      </c>
      <c r="W57" s="42" t="n">
        <f aca="false">ROUND(AG57-M57,2)</f>
        <v>0</v>
      </c>
      <c r="X57" s="42" t="n">
        <f aca="false">ROUND(AH57-N57,2)</f>
        <v>0</v>
      </c>
      <c r="Y57" s="42" t="n">
        <f aca="false">ROUND(AI57-O57,2)</f>
        <v>0</v>
      </c>
      <c r="Z57" s="56" t="n">
        <f aca="false">ROUND(P56*(1+N(Debts!$D$5)/12),2)</f>
        <v>0</v>
      </c>
      <c r="AA57" s="56" t="n">
        <f aca="false">ROUND(Q56*(1+N(Debts!$D$6)/12),2)</f>
        <v>0</v>
      </c>
      <c r="AB57" s="56" t="n">
        <f aca="false">ROUND(R56*(1+N(Debts!$D$7)/12),2)</f>
        <v>0</v>
      </c>
      <c r="AC57" s="56" t="n">
        <f aca="false">ROUND(S56*(1+N(Debts!$D$8)/12),2)</f>
        <v>0</v>
      </c>
      <c r="AD57" s="56" t="n">
        <f aca="false">ROUND(T56*(1+N(Debts!$D$9)/12),2)</f>
        <v>0</v>
      </c>
      <c r="AE57" s="56" t="n">
        <f aca="false">ROUND(U56*(1+N(Debts!$D$10)/12),2)</f>
        <v>0</v>
      </c>
      <c r="AF57" s="56" t="n">
        <f aca="false">ROUND(V56*(1+N(Debts!$D$11)/12),2)</f>
        <v>0</v>
      </c>
      <c r="AG57" s="56" t="n">
        <f aca="false">ROUND(W56*(1+N(Debts!$D$12)/12),2)</f>
        <v>0</v>
      </c>
      <c r="AH57" s="56" t="n">
        <f aca="false">ROUND(X56*(1+N(Debts!$D$13)/12),2)</f>
        <v>0</v>
      </c>
      <c r="AI57" s="56" t="n">
        <f aca="false">ROUND(Y56*(1+N(Debts!$D$14)/12),2)</f>
        <v>0</v>
      </c>
      <c r="AJ57" s="56" t="n">
        <f aca="false">MIN(Z57,MAX(0,N(Debts!$E$5)))</f>
        <v>0</v>
      </c>
      <c r="AK57" s="56" t="n">
        <f aca="false">MIN(AA57,MAX(0,N(Debts!$E$6)))</f>
        <v>0</v>
      </c>
      <c r="AL57" s="56" t="n">
        <f aca="false">MIN(AB57,MAX(0,N(Debts!$E$7)))</f>
        <v>0</v>
      </c>
      <c r="AM57" s="56" t="n">
        <f aca="false">MIN(AC57,MAX(0,N(Debts!$E$8)))</f>
        <v>0</v>
      </c>
      <c r="AN57" s="56" t="n">
        <f aca="false">MIN(AD57,MAX(0,N(Debts!$E$9)))</f>
        <v>0</v>
      </c>
      <c r="AO57" s="56" t="n">
        <f aca="false">MIN(AE57,MAX(0,N(Debts!$E$10)))</f>
        <v>0</v>
      </c>
      <c r="AP57" s="56" t="n">
        <f aca="false">MIN(AF57,MAX(0,N(Debts!$E$11)))</f>
        <v>0</v>
      </c>
      <c r="AQ57" s="56" t="n">
        <f aca="false">MIN(AG57,MAX(0,N(Debts!$E$12)))</f>
        <v>0</v>
      </c>
      <c r="AR57" s="56" t="n">
        <f aca="false">MIN(AH57,MAX(0,N(Debts!$E$13)))</f>
        <v>0</v>
      </c>
      <c r="AS57" s="56" t="n">
        <f aca="false">MIN(AI57,MAX(0,N(Debts!$E$14)))</f>
        <v>0</v>
      </c>
    </row>
    <row r="58" customFormat="false" ht="15" hidden="false" customHeight="false" outlineLevel="0" collapsed="false">
      <c r="A58" s="53" t="n">
        <v>54</v>
      </c>
      <c r="B58" s="54" t="n">
        <f aca="false">EDATE('Start Here'!$B$8,53)</f>
        <v>47939</v>
      </c>
      <c r="C58" s="42" t="n">
        <f aca="false">SUM(F58:O58)</f>
        <v>0</v>
      </c>
      <c r="D58" s="42" t="n">
        <f aca="false">ROUND(SUM($Z58:$AI58)-SUM(P57:Y57),2)</f>
        <v>0</v>
      </c>
      <c r="E58" s="55" t="n">
        <f aca="false">SUM(P58:Y58)</f>
        <v>0</v>
      </c>
      <c r="F58" s="42" t="n">
        <f aca="false">AJ58+MIN(Z58-AJ58,MAX(0,'Start Here'!$B$10-SUM($AJ58:$AS58)-SUMPRODUCT(($Z$3:$AI$3&lt;Z$3)*($Z58:$AI58-$AJ58:$AS58))))</f>
        <v>0</v>
      </c>
      <c r="G58" s="42" t="n">
        <f aca="false">AK58+MIN(AA58-AK58,MAX(0,'Start Here'!$B$10-SUM($AJ58:$AS58)-SUMPRODUCT(($Z$3:$AI$3&lt;AA$3)*($Z58:$AI58-$AJ58:$AS58))))</f>
        <v>0</v>
      </c>
      <c r="H58" s="42" t="n">
        <f aca="false">AL58+MIN(AB58-AL58,MAX(0,'Start Here'!$B$10-SUM($AJ58:$AS58)-SUMPRODUCT(($Z$3:$AI$3&lt;AB$3)*($Z58:$AI58-$AJ58:$AS58))))</f>
        <v>0</v>
      </c>
      <c r="I58" s="42" t="n">
        <f aca="false">AM58+MIN(AC58-AM58,MAX(0,'Start Here'!$B$10-SUM($AJ58:$AS58)-SUMPRODUCT(($Z$3:$AI$3&lt;AC$3)*($Z58:$AI58-$AJ58:$AS58))))</f>
        <v>0</v>
      </c>
      <c r="J58" s="42" t="n">
        <f aca="false">AN58+MIN(AD58-AN58,MAX(0,'Start Here'!$B$10-SUM($AJ58:$AS58)-SUMPRODUCT(($Z$3:$AI$3&lt;AD$3)*($Z58:$AI58-$AJ58:$AS58))))</f>
        <v>0</v>
      </c>
      <c r="K58" s="42" t="n">
        <f aca="false">AO58+MIN(AE58-AO58,MAX(0,'Start Here'!$B$10-SUM($AJ58:$AS58)-SUMPRODUCT(($Z$3:$AI$3&lt;AE$3)*($Z58:$AI58-$AJ58:$AS58))))</f>
        <v>0</v>
      </c>
      <c r="L58" s="42" t="n">
        <f aca="false">AP58+MIN(AF58-AP58,MAX(0,'Start Here'!$B$10-SUM($AJ58:$AS58)-SUMPRODUCT(($Z$3:$AI$3&lt;AF$3)*($Z58:$AI58-$AJ58:$AS58))))</f>
        <v>0</v>
      </c>
      <c r="M58" s="42" t="n">
        <f aca="false">AQ58+MIN(AG58-AQ58,MAX(0,'Start Here'!$B$10-SUM($AJ58:$AS58)-SUMPRODUCT(($Z$3:$AI$3&lt;AG$3)*($Z58:$AI58-$AJ58:$AS58))))</f>
        <v>0</v>
      </c>
      <c r="N58" s="42" t="n">
        <f aca="false">AR58+MIN(AH58-AR58,MAX(0,'Start Here'!$B$10-SUM($AJ58:$AS58)-SUMPRODUCT(($Z$3:$AI$3&lt;AH$3)*($Z58:$AI58-$AJ58:$AS58))))</f>
        <v>0</v>
      </c>
      <c r="O58" s="42" t="n">
        <f aca="false">AS58+MIN(AI58-AS58,MAX(0,'Start Here'!$B$10-SUM($AJ58:$AS58)-SUMPRODUCT(($Z$3:$AI$3&lt;AI$3)*($Z58:$AI58-$AJ58:$AS58))))</f>
        <v>0</v>
      </c>
      <c r="P58" s="42" t="n">
        <f aca="false">ROUND(Z58-F58,2)</f>
        <v>0</v>
      </c>
      <c r="Q58" s="42" t="n">
        <f aca="false">ROUND(AA58-G58,2)</f>
        <v>0</v>
      </c>
      <c r="R58" s="42" t="n">
        <f aca="false">ROUND(AB58-H58,2)</f>
        <v>0</v>
      </c>
      <c r="S58" s="42" t="n">
        <f aca="false">ROUND(AC58-I58,2)</f>
        <v>0</v>
      </c>
      <c r="T58" s="42" t="n">
        <f aca="false">ROUND(AD58-J58,2)</f>
        <v>0</v>
      </c>
      <c r="U58" s="42" t="n">
        <f aca="false">ROUND(AE58-K58,2)</f>
        <v>0</v>
      </c>
      <c r="V58" s="42" t="n">
        <f aca="false">ROUND(AF58-L58,2)</f>
        <v>0</v>
      </c>
      <c r="W58" s="42" t="n">
        <f aca="false">ROUND(AG58-M58,2)</f>
        <v>0</v>
      </c>
      <c r="X58" s="42" t="n">
        <f aca="false">ROUND(AH58-N58,2)</f>
        <v>0</v>
      </c>
      <c r="Y58" s="42" t="n">
        <f aca="false">ROUND(AI58-O58,2)</f>
        <v>0</v>
      </c>
      <c r="Z58" s="56" t="n">
        <f aca="false">ROUND(P57*(1+N(Debts!$D$5)/12),2)</f>
        <v>0</v>
      </c>
      <c r="AA58" s="56" t="n">
        <f aca="false">ROUND(Q57*(1+N(Debts!$D$6)/12),2)</f>
        <v>0</v>
      </c>
      <c r="AB58" s="56" t="n">
        <f aca="false">ROUND(R57*(1+N(Debts!$D$7)/12),2)</f>
        <v>0</v>
      </c>
      <c r="AC58" s="56" t="n">
        <f aca="false">ROUND(S57*(1+N(Debts!$D$8)/12),2)</f>
        <v>0</v>
      </c>
      <c r="AD58" s="56" t="n">
        <f aca="false">ROUND(T57*(1+N(Debts!$D$9)/12),2)</f>
        <v>0</v>
      </c>
      <c r="AE58" s="56" t="n">
        <f aca="false">ROUND(U57*(1+N(Debts!$D$10)/12),2)</f>
        <v>0</v>
      </c>
      <c r="AF58" s="56" t="n">
        <f aca="false">ROUND(V57*(1+N(Debts!$D$11)/12),2)</f>
        <v>0</v>
      </c>
      <c r="AG58" s="56" t="n">
        <f aca="false">ROUND(W57*(1+N(Debts!$D$12)/12),2)</f>
        <v>0</v>
      </c>
      <c r="AH58" s="56" t="n">
        <f aca="false">ROUND(X57*(1+N(Debts!$D$13)/12),2)</f>
        <v>0</v>
      </c>
      <c r="AI58" s="56" t="n">
        <f aca="false">ROUND(Y57*(1+N(Debts!$D$14)/12),2)</f>
        <v>0</v>
      </c>
      <c r="AJ58" s="56" t="n">
        <f aca="false">MIN(Z58,MAX(0,N(Debts!$E$5)))</f>
        <v>0</v>
      </c>
      <c r="AK58" s="56" t="n">
        <f aca="false">MIN(AA58,MAX(0,N(Debts!$E$6)))</f>
        <v>0</v>
      </c>
      <c r="AL58" s="56" t="n">
        <f aca="false">MIN(AB58,MAX(0,N(Debts!$E$7)))</f>
        <v>0</v>
      </c>
      <c r="AM58" s="56" t="n">
        <f aca="false">MIN(AC58,MAX(0,N(Debts!$E$8)))</f>
        <v>0</v>
      </c>
      <c r="AN58" s="56" t="n">
        <f aca="false">MIN(AD58,MAX(0,N(Debts!$E$9)))</f>
        <v>0</v>
      </c>
      <c r="AO58" s="56" t="n">
        <f aca="false">MIN(AE58,MAX(0,N(Debts!$E$10)))</f>
        <v>0</v>
      </c>
      <c r="AP58" s="56" t="n">
        <f aca="false">MIN(AF58,MAX(0,N(Debts!$E$11)))</f>
        <v>0</v>
      </c>
      <c r="AQ58" s="56" t="n">
        <f aca="false">MIN(AG58,MAX(0,N(Debts!$E$12)))</f>
        <v>0</v>
      </c>
      <c r="AR58" s="56" t="n">
        <f aca="false">MIN(AH58,MAX(0,N(Debts!$E$13)))</f>
        <v>0</v>
      </c>
      <c r="AS58" s="56" t="n">
        <f aca="false">MIN(AI58,MAX(0,N(Debts!$E$14)))</f>
        <v>0</v>
      </c>
    </row>
    <row r="59" customFormat="false" ht="15" hidden="false" customHeight="false" outlineLevel="0" collapsed="false">
      <c r="A59" s="53" t="n">
        <v>55</v>
      </c>
      <c r="B59" s="54" t="n">
        <f aca="false">EDATE('Start Here'!$B$8,54)</f>
        <v>47969</v>
      </c>
      <c r="C59" s="42" t="n">
        <f aca="false">SUM(F59:O59)</f>
        <v>0</v>
      </c>
      <c r="D59" s="42" t="n">
        <f aca="false">ROUND(SUM($Z59:$AI59)-SUM(P58:Y58),2)</f>
        <v>0</v>
      </c>
      <c r="E59" s="55" t="n">
        <f aca="false">SUM(P59:Y59)</f>
        <v>0</v>
      </c>
      <c r="F59" s="42" t="n">
        <f aca="false">AJ59+MIN(Z59-AJ59,MAX(0,'Start Here'!$B$10-SUM($AJ59:$AS59)-SUMPRODUCT(($Z$3:$AI$3&lt;Z$3)*($Z59:$AI59-$AJ59:$AS59))))</f>
        <v>0</v>
      </c>
      <c r="G59" s="42" t="n">
        <f aca="false">AK59+MIN(AA59-AK59,MAX(0,'Start Here'!$B$10-SUM($AJ59:$AS59)-SUMPRODUCT(($Z$3:$AI$3&lt;AA$3)*($Z59:$AI59-$AJ59:$AS59))))</f>
        <v>0</v>
      </c>
      <c r="H59" s="42" t="n">
        <f aca="false">AL59+MIN(AB59-AL59,MAX(0,'Start Here'!$B$10-SUM($AJ59:$AS59)-SUMPRODUCT(($Z$3:$AI$3&lt;AB$3)*($Z59:$AI59-$AJ59:$AS59))))</f>
        <v>0</v>
      </c>
      <c r="I59" s="42" t="n">
        <f aca="false">AM59+MIN(AC59-AM59,MAX(0,'Start Here'!$B$10-SUM($AJ59:$AS59)-SUMPRODUCT(($Z$3:$AI$3&lt;AC$3)*($Z59:$AI59-$AJ59:$AS59))))</f>
        <v>0</v>
      </c>
      <c r="J59" s="42" t="n">
        <f aca="false">AN59+MIN(AD59-AN59,MAX(0,'Start Here'!$B$10-SUM($AJ59:$AS59)-SUMPRODUCT(($Z$3:$AI$3&lt;AD$3)*($Z59:$AI59-$AJ59:$AS59))))</f>
        <v>0</v>
      </c>
      <c r="K59" s="42" t="n">
        <f aca="false">AO59+MIN(AE59-AO59,MAX(0,'Start Here'!$B$10-SUM($AJ59:$AS59)-SUMPRODUCT(($Z$3:$AI$3&lt;AE$3)*($Z59:$AI59-$AJ59:$AS59))))</f>
        <v>0</v>
      </c>
      <c r="L59" s="42" t="n">
        <f aca="false">AP59+MIN(AF59-AP59,MAX(0,'Start Here'!$B$10-SUM($AJ59:$AS59)-SUMPRODUCT(($Z$3:$AI$3&lt;AF$3)*($Z59:$AI59-$AJ59:$AS59))))</f>
        <v>0</v>
      </c>
      <c r="M59" s="42" t="n">
        <f aca="false">AQ59+MIN(AG59-AQ59,MAX(0,'Start Here'!$B$10-SUM($AJ59:$AS59)-SUMPRODUCT(($Z$3:$AI$3&lt;AG$3)*($Z59:$AI59-$AJ59:$AS59))))</f>
        <v>0</v>
      </c>
      <c r="N59" s="42" t="n">
        <f aca="false">AR59+MIN(AH59-AR59,MAX(0,'Start Here'!$B$10-SUM($AJ59:$AS59)-SUMPRODUCT(($Z$3:$AI$3&lt;AH$3)*($Z59:$AI59-$AJ59:$AS59))))</f>
        <v>0</v>
      </c>
      <c r="O59" s="42" t="n">
        <f aca="false">AS59+MIN(AI59-AS59,MAX(0,'Start Here'!$B$10-SUM($AJ59:$AS59)-SUMPRODUCT(($Z$3:$AI$3&lt;AI$3)*($Z59:$AI59-$AJ59:$AS59))))</f>
        <v>0</v>
      </c>
      <c r="P59" s="42" t="n">
        <f aca="false">ROUND(Z59-F59,2)</f>
        <v>0</v>
      </c>
      <c r="Q59" s="42" t="n">
        <f aca="false">ROUND(AA59-G59,2)</f>
        <v>0</v>
      </c>
      <c r="R59" s="42" t="n">
        <f aca="false">ROUND(AB59-H59,2)</f>
        <v>0</v>
      </c>
      <c r="S59" s="42" t="n">
        <f aca="false">ROUND(AC59-I59,2)</f>
        <v>0</v>
      </c>
      <c r="T59" s="42" t="n">
        <f aca="false">ROUND(AD59-J59,2)</f>
        <v>0</v>
      </c>
      <c r="U59" s="42" t="n">
        <f aca="false">ROUND(AE59-K59,2)</f>
        <v>0</v>
      </c>
      <c r="V59" s="42" t="n">
        <f aca="false">ROUND(AF59-L59,2)</f>
        <v>0</v>
      </c>
      <c r="W59" s="42" t="n">
        <f aca="false">ROUND(AG59-M59,2)</f>
        <v>0</v>
      </c>
      <c r="X59" s="42" t="n">
        <f aca="false">ROUND(AH59-N59,2)</f>
        <v>0</v>
      </c>
      <c r="Y59" s="42" t="n">
        <f aca="false">ROUND(AI59-O59,2)</f>
        <v>0</v>
      </c>
      <c r="Z59" s="56" t="n">
        <f aca="false">ROUND(P58*(1+N(Debts!$D$5)/12),2)</f>
        <v>0</v>
      </c>
      <c r="AA59" s="56" t="n">
        <f aca="false">ROUND(Q58*(1+N(Debts!$D$6)/12),2)</f>
        <v>0</v>
      </c>
      <c r="AB59" s="56" t="n">
        <f aca="false">ROUND(R58*(1+N(Debts!$D$7)/12),2)</f>
        <v>0</v>
      </c>
      <c r="AC59" s="56" t="n">
        <f aca="false">ROUND(S58*(1+N(Debts!$D$8)/12),2)</f>
        <v>0</v>
      </c>
      <c r="AD59" s="56" t="n">
        <f aca="false">ROUND(T58*(1+N(Debts!$D$9)/12),2)</f>
        <v>0</v>
      </c>
      <c r="AE59" s="56" t="n">
        <f aca="false">ROUND(U58*(1+N(Debts!$D$10)/12),2)</f>
        <v>0</v>
      </c>
      <c r="AF59" s="56" t="n">
        <f aca="false">ROUND(V58*(1+N(Debts!$D$11)/12),2)</f>
        <v>0</v>
      </c>
      <c r="AG59" s="56" t="n">
        <f aca="false">ROUND(W58*(1+N(Debts!$D$12)/12),2)</f>
        <v>0</v>
      </c>
      <c r="AH59" s="56" t="n">
        <f aca="false">ROUND(X58*(1+N(Debts!$D$13)/12),2)</f>
        <v>0</v>
      </c>
      <c r="AI59" s="56" t="n">
        <f aca="false">ROUND(Y58*(1+N(Debts!$D$14)/12),2)</f>
        <v>0</v>
      </c>
      <c r="AJ59" s="56" t="n">
        <f aca="false">MIN(Z59,MAX(0,N(Debts!$E$5)))</f>
        <v>0</v>
      </c>
      <c r="AK59" s="56" t="n">
        <f aca="false">MIN(AA59,MAX(0,N(Debts!$E$6)))</f>
        <v>0</v>
      </c>
      <c r="AL59" s="56" t="n">
        <f aca="false">MIN(AB59,MAX(0,N(Debts!$E$7)))</f>
        <v>0</v>
      </c>
      <c r="AM59" s="56" t="n">
        <f aca="false">MIN(AC59,MAX(0,N(Debts!$E$8)))</f>
        <v>0</v>
      </c>
      <c r="AN59" s="56" t="n">
        <f aca="false">MIN(AD59,MAX(0,N(Debts!$E$9)))</f>
        <v>0</v>
      </c>
      <c r="AO59" s="56" t="n">
        <f aca="false">MIN(AE59,MAX(0,N(Debts!$E$10)))</f>
        <v>0</v>
      </c>
      <c r="AP59" s="56" t="n">
        <f aca="false">MIN(AF59,MAX(0,N(Debts!$E$11)))</f>
        <v>0</v>
      </c>
      <c r="AQ59" s="56" t="n">
        <f aca="false">MIN(AG59,MAX(0,N(Debts!$E$12)))</f>
        <v>0</v>
      </c>
      <c r="AR59" s="56" t="n">
        <f aca="false">MIN(AH59,MAX(0,N(Debts!$E$13)))</f>
        <v>0</v>
      </c>
      <c r="AS59" s="56" t="n">
        <f aca="false">MIN(AI59,MAX(0,N(Debts!$E$14)))</f>
        <v>0</v>
      </c>
    </row>
    <row r="60" customFormat="false" ht="15" hidden="false" customHeight="false" outlineLevel="0" collapsed="false">
      <c r="A60" s="53" t="n">
        <v>56</v>
      </c>
      <c r="B60" s="54" t="n">
        <f aca="false">EDATE('Start Here'!$B$8,55)</f>
        <v>48000</v>
      </c>
      <c r="C60" s="42" t="n">
        <f aca="false">SUM(F60:O60)</f>
        <v>0</v>
      </c>
      <c r="D60" s="42" t="n">
        <f aca="false">ROUND(SUM($Z60:$AI60)-SUM(P59:Y59),2)</f>
        <v>0</v>
      </c>
      <c r="E60" s="55" t="n">
        <f aca="false">SUM(P60:Y60)</f>
        <v>0</v>
      </c>
      <c r="F60" s="42" t="n">
        <f aca="false">AJ60+MIN(Z60-AJ60,MAX(0,'Start Here'!$B$10-SUM($AJ60:$AS60)-SUMPRODUCT(($Z$3:$AI$3&lt;Z$3)*($Z60:$AI60-$AJ60:$AS60))))</f>
        <v>0</v>
      </c>
      <c r="G60" s="42" t="n">
        <f aca="false">AK60+MIN(AA60-AK60,MAX(0,'Start Here'!$B$10-SUM($AJ60:$AS60)-SUMPRODUCT(($Z$3:$AI$3&lt;AA$3)*($Z60:$AI60-$AJ60:$AS60))))</f>
        <v>0</v>
      </c>
      <c r="H60" s="42" t="n">
        <f aca="false">AL60+MIN(AB60-AL60,MAX(0,'Start Here'!$B$10-SUM($AJ60:$AS60)-SUMPRODUCT(($Z$3:$AI$3&lt;AB$3)*($Z60:$AI60-$AJ60:$AS60))))</f>
        <v>0</v>
      </c>
      <c r="I60" s="42" t="n">
        <f aca="false">AM60+MIN(AC60-AM60,MAX(0,'Start Here'!$B$10-SUM($AJ60:$AS60)-SUMPRODUCT(($Z$3:$AI$3&lt;AC$3)*($Z60:$AI60-$AJ60:$AS60))))</f>
        <v>0</v>
      </c>
      <c r="J60" s="42" t="n">
        <f aca="false">AN60+MIN(AD60-AN60,MAX(0,'Start Here'!$B$10-SUM($AJ60:$AS60)-SUMPRODUCT(($Z$3:$AI$3&lt;AD$3)*($Z60:$AI60-$AJ60:$AS60))))</f>
        <v>0</v>
      </c>
      <c r="K60" s="42" t="n">
        <f aca="false">AO60+MIN(AE60-AO60,MAX(0,'Start Here'!$B$10-SUM($AJ60:$AS60)-SUMPRODUCT(($Z$3:$AI$3&lt;AE$3)*($Z60:$AI60-$AJ60:$AS60))))</f>
        <v>0</v>
      </c>
      <c r="L60" s="42" t="n">
        <f aca="false">AP60+MIN(AF60-AP60,MAX(0,'Start Here'!$B$10-SUM($AJ60:$AS60)-SUMPRODUCT(($Z$3:$AI$3&lt;AF$3)*($Z60:$AI60-$AJ60:$AS60))))</f>
        <v>0</v>
      </c>
      <c r="M60" s="42" t="n">
        <f aca="false">AQ60+MIN(AG60-AQ60,MAX(0,'Start Here'!$B$10-SUM($AJ60:$AS60)-SUMPRODUCT(($Z$3:$AI$3&lt;AG$3)*($Z60:$AI60-$AJ60:$AS60))))</f>
        <v>0</v>
      </c>
      <c r="N60" s="42" t="n">
        <f aca="false">AR60+MIN(AH60-AR60,MAX(0,'Start Here'!$B$10-SUM($AJ60:$AS60)-SUMPRODUCT(($Z$3:$AI$3&lt;AH$3)*($Z60:$AI60-$AJ60:$AS60))))</f>
        <v>0</v>
      </c>
      <c r="O60" s="42" t="n">
        <f aca="false">AS60+MIN(AI60-AS60,MAX(0,'Start Here'!$B$10-SUM($AJ60:$AS60)-SUMPRODUCT(($Z$3:$AI$3&lt;AI$3)*($Z60:$AI60-$AJ60:$AS60))))</f>
        <v>0</v>
      </c>
      <c r="P60" s="42" t="n">
        <f aca="false">ROUND(Z60-F60,2)</f>
        <v>0</v>
      </c>
      <c r="Q60" s="42" t="n">
        <f aca="false">ROUND(AA60-G60,2)</f>
        <v>0</v>
      </c>
      <c r="R60" s="42" t="n">
        <f aca="false">ROUND(AB60-H60,2)</f>
        <v>0</v>
      </c>
      <c r="S60" s="42" t="n">
        <f aca="false">ROUND(AC60-I60,2)</f>
        <v>0</v>
      </c>
      <c r="T60" s="42" t="n">
        <f aca="false">ROUND(AD60-J60,2)</f>
        <v>0</v>
      </c>
      <c r="U60" s="42" t="n">
        <f aca="false">ROUND(AE60-K60,2)</f>
        <v>0</v>
      </c>
      <c r="V60" s="42" t="n">
        <f aca="false">ROUND(AF60-L60,2)</f>
        <v>0</v>
      </c>
      <c r="W60" s="42" t="n">
        <f aca="false">ROUND(AG60-M60,2)</f>
        <v>0</v>
      </c>
      <c r="X60" s="42" t="n">
        <f aca="false">ROUND(AH60-N60,2)</f>
        <v>0</v>
      </c>
      <c r="Y60" s="42" t="n">
        <f aca="false">ROUND(AI60-O60,2)</f>
        <v>0</v>
      </c>
      <c r="Z60" s="56" t="n">
        <f aca="false">ROUND(P59*(1+N(Debts!$D$5)/12),2)</f>
        <v>0</v>
      </c>
      <c r="AA60" s="56" t="n">
        <f aca="false">ROUND(Q59*(1+N(Debts!$D$6)/12),2)</f>
        <v>0</v>
      </c>
      <c r="AB60" s="56" t="n">
        <f aca="false">ROUND(R59*(1+N(Debts!$D$7)/12),2)</f>
        <v>0</v>
      </c>
      <c r="AC60" s="56" t="n">
        <f aca="false">ROUND(S59*(1+N(Debts!$D$8)/12),2)</f>
        <v>0</v>
      </c>
      <c r="AD60" s="56" t="n">
        <f aca="false">ROUND(T59*(1+N(Debts!$D$9)/12),2)</f>
        <v>0</v>
      </c>
      <c r="AE60" s="56" t="n">
        <f aca="false">ROUND(U59*(1+N(Debts!$D$10)/12),2)</f>
        <v>0</v>
      </c>
      <c r="AF60" s="56" t="n">
        <f aca="false">ROUND(V59*(1+N(Debts!$D$11)/12),2)</f>
        <v>0</v>
      </c>
      <c r="AG60" s="56" t="n">
        <f aca="false">ROUND(W59*(1+N(Debts!$D$12)/12),2)</f>
        <v>0</v>
      </c>
      <c r="AH60" s="56" t="n">
        <f aca="false">ROUND(X59*(1+N(Debts!$D$13)/12),2)</f>
        <v>0</v>
      </c>
      <c r="AI60" s="56" t="n">
        <f aca="false">ROUND(Y59*(1+N(Debts!$D$14)/12),2)</f>
        <v>0</v>
      </c>
      <c r="AJ60" s="56" t="n">
        <f aca="false">MIN(Z60,MAX(0,N(Debts!$E$5)))</f>
        <v>0</v>
      </c>
      <c r="AK60" s="56" t="n">
        <f aca="false">MIN(AA60,MAX(0,N(Debts!$E$6)))</f>
        <v>0</v>
      </c>
      <c r="AL60" s="56" t="n">
        <f aca="false">MIN(AB60,MAX(0,N(Debts!$E$7)))</f>
        <v>0</v>
      </c>
      <c r="AM60" s="56" t="n">
        <f aca="false">MIN(AC60,MAX(0,N(Debts!$E$8)))</f>
        <v>0</v>
      </c>
      <c r="AN60" s="56" t="n">
        <f aca="false">MIN(AD60,MAX(0,N(Debts!$E$9)))</f>
        <v>0</v>
      </c>
      <c r="AO60" s="56" t="n">
        <f aca="false">MIN(AE60,MAX(0,N(Debts!$E$10)))</f>
        <v>0</v>
      </c>
      <c r="AP60" s="56" t="n">
        <f aca="false">MIN(AF60,MAX(0,N(Debts!$E$11)))</f>
        <v>0</v>
      </c>
      <c r="AQ60" s="56" t="n">
        <f aca="false">MIN(AG60,MAX(0,N(Debts!$E$12)))</f>
        <v>0</v>
      </c>
      <c r="AR60" s="56" t="n">
        <f aca="false">MIN(AH60,MAX(0,N(Debts!$E$13)))</f>
        <v>0</v>
      </c>
      <c r="AS60" s="56" t="n">
        <f aca="false">MIN(AI60,MAX(0,N(Debts!$E$14)))</f>
        <v>0</v>
      </c>
    </row>
    <row r="61" customFormat="false" ht="15" hidden="false" customHeight="false" outlineLevel="0" collapsed="false">
      <c r="A61" s="53" t="n">
        <v>57</v>
      </c>
      <c r="B61" s="54" t="n">
        <f aca="false">EDATE('Start Here'!$B$8,56)</f>
        <v>48030</v>
      </c>
      <c r="C61" s="42" t="n">
        <f aca="false">SUM(F61:O61)</f>
        <v>0</v>
      </c>
      <c r="D61" s="42" t="n">
        <f aca="false">ROUND(SUM($Z61:$AI61)-SUM(P60:Y60),2)</f>
        <v>0</v>
      </c>
      <c r="E61" s="55" t="n">
        <f aca="false">SUM(P61:Y61)</f>
        <v>0</v>
      </c>
      <c r="F61" s="42" t="n">
        <f aca="false">AJ61+MIN(Z61-AJ61,MAX(0,'Start Here'!$B$10-SUM($AJ61:$AS61)-SUMPRODUCT(($Z$3:$AI$3&lt;Z$3)*($Z61:$AI61-$AJ61:$AS61))))</f>
        <v>0</v>
      </c>
      <c r="G61" s="42" t="n">
        <f aca="false">AK61+MIN(AA61-AK61,MAX(0,'Start Here'!$B$10-SUM($AJ61:$AS61)-SUMPRODUCT(($Z$3:$AI$3&lt;AA$3)*($Z61:$AI61-$AJ61:$AS61))))</f>
        <v>0</v>
      </c>
      <c r="H61" s="42" t="n">
        <f aca="false">AL61+MIN(AB61-AL61,MAX(0,'Start Here'!$B$10-SUM($AJ61:$AS61)-SUMPRODUCT(($Z$3:$AI$3&lt;AB$3)*($Z61:$AI61-$AJ61:$AS61))))</f>
        <v>0</v>
      </c>
      <c r="I61" s="42" t="n">
        <f aca="false">AM61+MIN(AC61-AM61,MAX(0,'Start Here'!$B$10-SUM($AJ61:$AS61)-SUMPRODUCT(($Z$3:$AI$3&lt;AC$3)*($Z61:$AI61-$AJ61:$AS61))))</f>
        <v>0</v>
      </c>
      <c r="J61" s="42" t="n">
        <f aca="false">AN61+MIN(AD61-AN61,MAX(0,'Start Here'!$B$10-SUM($AJ61:$AS61)-SUMPRODUCT(($Z$3:$AI$3&lt;AD$3)*($Z61:$AI61-$AJ61:$AS61))))</f>
        <v>0</v>
      </c>
      <c r="K61" s="42" t="n">
        <f aca="false">AO61+MIN(AE61-AO61,MAX(0,'Start Here'!$B$10-SUM($AJ61:$AS61)-SUMPRODUCT(($Z$3:$AI$3&lt;AE$3)*($Z61:$AI61-$AJ61:$AS61))))</f>
        <v>0</v>
      </c>
      <c r="L61" s="42" t="n">
        <f aca="false">AP61+MIN(AF61-AP61,MAX(0,'Start Here'!$B$10-SUM($AJ61:$AS61)-SUMPRODUCT(($Z$3:$AI$3&lt;AF$3)*($Z61:$AI61-$AJ61:$AS61))))</f>
        <v>0</v>
      </c>
      <c r="M61" s="42" t="n">
        <f aca="false">AQ61+MIN(AG61-AQ61,MAX(0,'Start Here'!$B$10-SUM($AJ61:$AS61)-SUMPRODUCT(($Z$3:$AI$3&lt;AG$3)*($Z61:$AI61-$AJ61:$AS61))))</f>
        <v>0</v>
      </c>
      <c r="N61" s="42" t="n">
        <f aca="false">AR61+MIN(AH61-AR61,MAX(0,'Start Here'!$B$10-SUM($AJ61:$AS61)-SUMPRODUCT(($Z$3:$AI$3&lt;AH$3)*($Z61:$AI61-$AJ61:$AS61))))</f>
        <v>0</v>
      </c>
      <c r="O61" s="42" t="n">
        <f aca="false">AS61+MIN(AI61-AS61,MAX(0,'Start Here'!$B$10-SUM($AJ61:$AS61)-SUMPRODUCT(($Z$3:$AI$3&lt;AI$3)*($Z61:$AI61-$AJ61:$AS61))))</f>
        <v>0</v>
      </c>
      <c r="P61" s="42" t="n">
        <f aca="false">ROUND(Z61-F61,2)</f>
        <v>0</v>
      </c>
      <c r="Q61" s="42" t="n">
        <f aca="false">ROUND(AA61-G61,2)</f>
        <v>0</v>
      </c>
      <c r="R61" s="42" t="n">
        <f aca="false">ROUND(AB61-H61,2)</f>
        <v>0</v>
      </c>
      <c r="S61" s="42" t="n">
        <f aca="false">ROUND(AC61-I61,2)</f>
        <v>0</v>
      </c>
      <c r="T61" s="42" t="n">
        <f aca="false">ROUND(AD61-J61,2)</f>
        <v>0</v>
      </c>
      <c r="U61" s="42" t="n">
        <f aca="false">ROUND(AE61-K61,2)</f>
        <v>0</v>
      </c>
      <c r="V61" s="42" t="n">
        <f aca="false">ROUND(AF61-L61,2)</f>
        <v>0</v>
      </c>
      <c r="W61" s="42" t="n">
        <f aca="false">ROUND(AG61-M61,2)</f>
        <v>0</v>
      </c>
      <c r="X61" s="42" t="n">
        <f aca="false">ROUND(AH61-N61,2)</f>
        <v>0</v>
      </c>
      <c r="Y61" s="42" t="n">
        <f aca="false">ROUND(AI61-O61,2)</f>
        <v>0</v>
      </c>
      <c r="Z61" s="56" t="n">
        <f aca="false">ROUND(P60*(1+N(Debts!$D$5)/12),2)</f>
        <v>0</v>
      </c>
      <c r="AA61" s="56" t="n">
        <f aca="false">ROUND(Q60*(1+N(Debts!$D$6)/12),2)</f>
        <v>0</v>
      </c>
      <c r="AB61" s="56" t="n">
        <f aca="false">ROUND(R60*(1+N(Debts!$D$7)/12),2)</f>
        <v>0</v>
      </c>
      <c r="AC61" s="56" t="n">
        <f aca="false">ROUND(S60*(1+N(Debts!$D$8)/12),2)</f>
        <v>0</v>
      </c>
      <c r="AD61" s="56" t="n">
        <f aca="false">ROUND(T60*(1+N(Debts!$D$9)/12),2)</f>
        <v>0</v>
      </c>
      <c r="AE61" s="56" t="n">
        <f aca="false">ROUND(U60*(1+N(Debts!$D$10)/12),2)</f>
        <v>0</v>
      </c>
      <c r="AF61" s="56" t="n">
        <f aca="false">ROUND(V60*(1+N(Debts!$D$11)/12),2)</f>
        <v>0</v>
      </c>
      <c r="AG61" s="56" t="n">
        <f aca="false">ROUND(W60*(1+N(Debts!$D$12)/12),2)</f>
        <v>0</v>
      </c>
      <c r="AH61" s="56" t="n">
        <f aca="false">ROUND(X60*(1+N(Debts!$D$13)/12),2)</f>
        <v>0</v>
      </c>
      <c r="AI61" s="56" t="n">
        <f aca="false">ROUND(Y60*(1+N(Debts!$D$14)/12),2)</f>
        <v>0</v>
      </c>
      <c r="AJ61" s="56" t="n">
        <f aca="false">MIN(Z61,MAX(0,N(Debts!$E$5)))</f>
        <v>0</v>
      </c>
      <c r="AK61" s="56" t="n">
        <f aca="false">MIN(AA61,MAX(0,N(Debts!$E$6)))</f>
        <v>0</v>
      </c>
      <c r="AL61" s="56" t="n">
        <f aca="false">MIN(AB61,MAX(0,N(Debts!$E$7)))</f>
        <v>0</v>
      </c>
      <c r="AM61" s="56" t="n">
        <f aca="false">MIN(AC61,MAX(0,N(Debts!$E$8)))</f>
        <v>0</v>
      </c>
      <c r="AN61" s="56" t="n">
        <f aca="false">MIN(AD61,MAX(0,N(Debts!$E$9)))</f>
        <v>0</v>
      </c>
      <c r="AO61" s="56" t="n">
        <f aca="false">MIN(AE61,MAX(0,N(Debts!$E$10)))</f>
        <v>0</v>
      </c>
      <c r="AP61" s="56" t="n">
        <f aca="false">MIN(AF61,MAX(0,N(Debts!$E$11)))</f>
        <v>0</v>
      </c>
      <c r="AQ61" s="56" t="n">
        <f aca="false">MIN(AG61,MAX(0,N(Debts!$E$12)))</f>
        <v>0</v>
      </c>
      <c r="AR61" s="56" t="n">
        <f aca="false">MIN(AH61,MAX(0,N(Debts!$E$13)))</f>
        <v>0</v>
      </c>
      <c r="AS61" s="56" t="n">
        <f aca="false">MIN(AI61,MAX(0,N(Debts!$E$14)))</f>
        <v>0</v>
      </c>
    </row>
    <row r="62" customFormat="false" ht="15" hidden="false" customHeight="false" outlineLevel="0" collapsed="false">
      <c r="A62" s="53" t="n">
        <v>58</v>
      </c>
      <c r="B62" s="54" t="n">
        <f aca="false">EDATE('Start Here'!$B$8,57)</f>
        <v>48061</v>
      </c>
      <c r="C62" s="42" t="n">
        <f aca="false">SUM(F62:O62)</f>
        <v>0</v>
      </c>
      <c r="D62" s="42" t="n">
        <f aca="false">ROUND(SUM($Z62:$AI62)-SUM(P61:Y61),2)</f>
        <v>0</v>
      </c>
      <c r="E62" s="55" t="n">
        <f aca="false">SUM(P62:Y62)</f>
        <v>0</v>
      </c>
      <c r="F62" s="42" t="n">
        <f aca="false">AJ62+MIN(Z62-AJ62,MAX(0,'Start Here'!$B$10-SUM($AJ62:$AS62)-SUMPRODUCT(($Z$3:$AI$3&lt;Z$3)*($Z62:$AI62-$AJ62:$AS62))))</f>
        <v>0</v>
      </c>
      <c r="G62" s="42" t="n">
        <f aca="false">AK62+MIN(AA62-AK62,MAX(0,'Start Here'!$B$10-SUM($AJ62:$AS62)-SUMPRODUCT(($Z$3:$AI$3&lt;AA$3)*($Z62:$AI62-$AJ62:$AS62))))</f>
        <v>0</v>
      </c>
      <c r="H62" s="42" t="n">
        <f aca="false">AL62+MIN(AB62-AL62,MAX(0,'Start Here'!$B$10-SUM($AJ62:$AS62)-SUMPRODUCT(($Z$3:$AI$3&lt;AB$3)*($Z62:$AI62-$AJ62:$AS62))))</f>
        <v>0</v>
      </c>
      <c r="I62" s="42" t="n">
        <f aca="false">AM62+MIN(AC62-AM62,MAX(0,'Start Here'!$B$10-SUM($AJ62:$AS62)-SUMPRODUCT(($Z$3:$AI$3&lt;AC$3)*($Z62:$AI62-$AJ62:$AS62))))</f>
        <v>0</v>
      </c>
      <c r="J62" s="42" t="n">
        <f aca="false">AN62+MIN(AD62-AN62,MAX(0,'Start Here'!$B$10-SUM($AJ62:$AS62)-SUMPRODUCT(($Z$3:$AI$3&lt;AD$3)*($Z62:$AI62-$AJ62:$AS62))))</f>
        <v>0</v>
      </c>
      <c r="K62" s="42" t="n">
        <f aca="false">AO62+MIN(AE62-AO62,MAX(0,'Start Here'!$B$10-SUM($AJ62:$AS62)-SUMPRODUCT(($Z$3:$AI$3&lt;AE$3)*($Z62:$AI62-$AJ62:$AS62))))</f>
        <v>0</v>
      </c>
      <c r="L62" s="42" t="n">
        <f aca="false">AP62+MIN(AF62-AP62,MAX(0,'Start Here'!$B$10-SUM($AJ62:$AS62)-SUMPRODUCT(($Z$3:$AI$3&lt;AF$3)*($Z62:$AI62-$AJ62:$AS62))))</f>
        <v>0</v>
      </c>
      <c r="M62" s="42" t="n">
        <f aca="false">AQ62+MIN(AG62-AQ62,MAX(0,'Start Here'!$B$10-SUM($AJ62:$AS62)-SUMPRODUCT(($Z$3:$AI$3&lt;AG$3)*($Z62:$AI62-$AJ62:$AS62))))</f>
        <v>0</v>
      </c>
      <c r="N62" s="42" t="n">
        <f aca="false">AR62+MIN(AH62-AR62,MAX(0,'Start Here'!$B$10-SUM($AJ62:$AS62)-SUMPRODUCT(($Z$3:$AI$3&lt;AH$3)*($Z62:$AI62-$AJ62:$AS62))))</f>
        <v>0</v>
      </c>
      <c r="O62" s="42" t="n">
        <f aca="false">AS62+MIN(AI62-AS62,MAX(0,'Start Here'!$B$10-SUM($AJ62:$AS62)-SUMPRODUCT(($Z$3:$AI$3&lt;AI$3)*($Z62:$AI62-$AJ62:$AS62))))</f>
        <v>0</v>
      </c>
      <c r="P62" s="42" t="n">
        <f aca="false">ROUND(Z62-F62,2)</f>
        <v>0</v>
      </c>
      <c r="Q62" s="42" t="n">
        <f aca="false">ROUND(AA62-G62,2)</f>
        <v>0</v>
      </c>
      <c r="R62" s="42" t="n">
        <f aca="false">ROUND(AB62-H62,2)</f>
        <v>0</v>
      </c>
      <c r="S62" s="42" t="n">
        <f aca="false">ROUND(AC62-I62,2)</f>
        <v>0</v>
      </c>
      <c r="T62" s="42" t="n">
        <f aca="false">ROUND(AD62-J62,2)</f>
        <v>0</v>
      </c>
      <c r="U62" s="42" t="n">
        <f aca="false">ROUND(AE62-K62,2)</f>
        <v>0</v>
      </c>
      <c r="V62" s="42" t="n">
        <f aca="false">ROUND(AF62-L62,2)</f>
        <v>0</v>
      </c>
      <c r="W62" s="42" t="n">
        <f aca="false">ROUND(AG62-M62,2)</f>
        <v>0</v>
      </c>
      <c r="X62" s="42" t="n">
        <f aca="false">ROUND(AH62-N62,2)</f>
        <v>0</v>
      </c>
      <c r="Y62" s="42" t="n">
        <f aca="false">ROUND(AI62-O62,2)</f>
        <v>0</v>
      </c>
      <c r="Z62" s="56" t="n">
        <f aca="false">ROUND(P61*(1+N(Debts!$D$5)/12),2)</f>
        <v>0</v>
      </c>
      <c r="AA62" s="56" t="n">
        <f aca="false">ROUND(Q61*(1+N(Debts!$D$6)/12),2)</f>
        <v>0</v>
      </c>
      <c r="AB62" s="56" t="n">
        <f aca="false">ROUND(R61*(1+N(Debts!$D$7)/12),2)</f>
        <v>0</v>
      </c>
      <c r="AC62" s="56" t="n">
        <f aca="false">ROUND(S61*(1+N(Debts!$D$8)/12),2)</f>
        <v>0</v>
      </c>
      <c r="AD62" s="56" t="n">
        <f aca="false">ROUND(T61*(1+N(Debts!$D$9)/12),2)</f>
        <v>0</v>
      </c>
      <c r="AE62" s="56" t="n">
        <f aca="false">ROUND(U61*(1+N(Debts!$D$10)/12),2)</f>
        <v>0</v>
      </c>
      <c r="AF62" s="56" t="n">
        <f aca="false">ROUND(V61*(1+N(Debts!$D$11)/12),2)</f>
        <v>0</v>
      </c>
      <c r="AG62" s="56" t="n">
        <f aca="false">ROUND(W61*(1+N(Debts!$D$12)/12),2)</f>
        <v>0</v>
      </c>
      <c r="AH62" s="56" t="n">
        <f aca="false">ROUND(X61*(1+N(Debts!$D$13)/12),2)</f>
        <v>0</v>
      </c>
      <c r="AI62" s="56" t="n">
        <f aca="false">ROUND(Y61*(1+N(Debts!$D$14)/12),2)</f>
        <v>0</v>
      </c>
      <c r="AJ62" s="56" t="n">
        <f aca="false">MIN(Z62,MAX(0,N(Debts!$E$5)))</f>
        <v>0</v>
      </c>
      <c r="AK62" s="56" t="n">
        <f aca="false">MIN(AA62,MAX(0,N(Debts!$E$6)))</f>
        <v>0</v>
      </c>
      <c r="AL62" s="56" t="n">
        <f aca="false">MIN(AB62,MAX(0,N(Debts!$E$7)))</f>
        <v>0</v>
      </c>
      <c r="AM62" s="56" t="n">
        <f aca="false">MIN(AC62,MAX(0,N(Debts!$E$8)))</f>
        <v>0</v>
      </c>
      <c r="AN62" s="56" t="n">
        <f aca="false">MIN(AD62,MAX(0,N(Debts!$E$9)))</f>
        <v>0</v>
      </c>
      <c r="AO62" s="56" t="n">
        <f aca="false">MIN(AE62,MAX(0,N(Debts!$E$10)))</f>
        <v>0</v>
      </c>
      <c r="AP62" s="56" t="n">
        <f aca="false">MIN(AF62,MAX(0,N(Debts!$E$11)))</f>
        <v>0</v>
      </c>
      <c r="AQ62" s="56" t="n">
        <f aca="false">MIN(AG62,MAX(0,N(Debts!$E$12)))</f>
        <v>0</v>
      </c>
      <c r="AR62" s="56" t="n">
        <f aca="false">MIN(AH62,MAX(0,N(Debts!$E$13)))</f>
        <v>0</v>
      </c>
      <c r="AS62" s="56" t="n">
        <f aca="false">MIN(AI62,MAX(0,N(Debts!$E$14)))</f>
        <v>0</v>
      </c>
    </row>
    <row r="63" customFormat="false" ht="15" hidden="false" customHeight="false" outlineLevel="0" collapsed="false">
      <c r="A63" s="53" t="n">
        <v>59</v>
      </c>
      <c r="B63" s="54" t="n">
        <f aca="false">EDATE('Start Here'!$B$8,58)</f>
        <v>48092</v>
      </c>
      <c r="C63" s="42" t="n">
        <f aca="false">SUM(F63:O63)</f>
        <v>0</v>
      </c>
      <c r="D63" s="42" t="n">
        <f aca="false">ROUND(SUM($Z63:$AI63)-SUM(P62:Y62),2)</f>
        <v>0</v>
      </c>
      <c r="E63" s="55" t="n">
        <f aca="false">SUM(P63:Y63)</f>
        <v>0</v>
      </c>
      <c r="F63" s="42" t="n">
        <f aca="false">AJ63+MIN(Z63-AJ63,MAX(0,'Start Here'!$B$10-SUM($AJ63:$AS63)-SUMPRODUCT(($Z$3:$AI$3&lt;Z$3)*($Z63:$AI63-$AJ63:$AS63))))</f>
        <v>0</v>
      </c>
      <c r="G63" s="42" t="n">
        <f aca="false">AK63+MIN(AA63-AK63,MAX(0,'Start Here'!$B$10-SUM($AJ63:$AS63)-SUMPRODUCT(($Z$3:$AI$3&lt;AA$3)*($Z63:$AI63-$AJ63:$AS63))))</f>
        <v>0</v>
      </c>
      <c r="H63" s="42" t="n">
        <f aca="false">AL63+MIN(AB63-AL63,MAX(0,'Start Here'!$B$10-SUM($AJ63:$AS63)-SUMPRODUCT(($Z$3:$AI$3&lt;AB$3)*($Z63:$AI63-$AJ63:$AS63))))</f>
        <v>0</v>
      </c>
      <c r="I63" s="42" t="n">
        <f aca="false">AM63+MIN(AC63-AM63,MAX(0,'Start Here'!$B$10-SUM($AJ63:$AS63)-SUMPRODUCT(($Z$3:$AI$3&lt;AC$3)*($Z63:$AI63-$AJ63:$AS63))))</f>
        <v>0</v>
      </c>
      <c r="J63" s="42" t="n">
        <f aca="false">AN63+MIN(AD63-AN63,MAX(0,'Start Here'!$B$10-SUM($AJ63:$AS63)-SUMPRODUCT(($Z$3:$AI$3&lt;AD$3)*($Z63:$AI63-$AJ63:$AS63))))</f>
        <v>0</v>
      </c>
      <c r="K63" s="42" t="n">
        <f aca="false">AO63+MIN(AE63-AO63,MAX(0,'Start Here'!$B$10-SUM($AJ63:$AS63)-SUMPRODUCT(($Z$3:$AI$3&lt;AE$3)*($Z63:$AI63-$AJ63:$AS63))))</f>
        <v>0</v>
      </c>
      <c r="L63" s="42" t="n">
        <f aca="false">AP63+MIN(AF63-AP63,MAX(0,'Start Here'!$B$10-SUM($AJ63:$AS63)-SUMPRODUCT(($Z$3:$AI$3&lt;AF$3)*($Z63:$AI63-$AJ63:$AS63))))</f>
        <v>0</v>
      </c>
      <c r="M63" s="42" t="n">
        <f aca="false">AQ63+MIN(AG63-AQ63,MAX(0,'Start Here'!$B$10-SUM($AJ63:$AS63)-SUMPRODUCT(($Z$3:$AI$3&lt;AG$3)*($Z63:$AI63-$AJ63:$AS63))))</f>
        <v>0</v>
      </c>
      <c r="N63" s="42" t="n">
        <f aca="false">AR63+MIN(AH63-AR63,MAX(0,'Start Here'!$B$10-SUM($AJ63:$AS63)-SUMPRODUCT(($Z$3:$AI$3&lt;AH$3)*($Z63:$AI63-$AJ63:$AS63))))</f>
        <v>0</v>
      </c>
      <c r="O63" s="42" t="n">
        <f aca="false">AS63+MIN(AI63-AS63,MAX(0,'Start Here'!$B$10-SUM($AJ63:$AS63)-SUMPRODUCT(($Z$3:$AI$3&lt;AI$3)*($Z63:$AI63-$AJ63:$AS63))))</f>
        <v>0</v>
      </c>
      <c r="P63" s="42" t="n">
        <f aca="false">ROUND(Z63-F63,2)</f>
        <v>0</v>
      </c>
      <c r="Q63" s="42" t="n">
        <f aca="false">ROUND(AA63-G63,2)</f>
        <v>0</v>
      </c>
      <c r="R63" s="42" t="n">
        <f aca="false">ROUND(AB63-H63,2)</f>
        <v>0</v>
      </c>
      <c r="S63" s="42" t="n">
        <f aca="false">ROUND(AC63-I63,2)</f>
        <v>0</v>
      </c>
      <c r="T63" s="42" t="n">
        <f aca="false">ROUND(AD63-J63,2)</f>
        <v>0</v>
      </c>
      <c r="U63" s="42" t="n">
        <f aca="false">ROUND(AE63-K63,2)</f>
        <v>0</v>
      </c>
      <c r="V63" s="42" t="n">
        <f aca="false">ROUND(AF63-L63,2)</f>
        <v>0</v>
      </c>
      <c r="W63" s="42" t="n">
        <f aca="false">ROUND(AG63-M63,2)</f>
        <v>0</v>
      </c>
      <c r="X63" s="42" t="n">
        <f aca="false">ROUND(AH63-N63,2)</f>
        <v>0</v>
      </c>
      <c r="Y63" s="42" t="n">
        <f aca="false">ROUND(AI63-O63,2)</f>
        <v>0</v>
      </c>
      <c r="Z63" s="56" t="n">
        <f aca="false">ROUND(P62*(1+N(Debts!$D$5)/12),2)</f>
        <v>0</v>
      </c>
      <c r="AA63" s="56" t="n">
        <f aca="false">ROUND(Q62*(1+N(Debts!$D$6)/12),2)</f>
        <v>0</v>
      </c>
      <c r="AB63" s="56" t="n">
        <f aca="false">ROUND(R62*(1+N(Debts!$D$7)/12),2)</f>
        <v>0</v>
      </c>
      <c r="AC63" s="56" t="n">
        <f aca="false">ROUND(S62*(1+N(Debts!$D$8)/12),2)</f>
        <v>0</v>
      </c>
      <c r="AD63" s="56" t="n">
        <f aca="false">ROUND(T62*(1+N(Debts!$D$9)/12),2)</f>
        <v>0</v>
      </c>
      <c r="AE63" s="56" t="n">
        <f aca="false">ROUND(U62*(1+N(Debts!$D$10)/12),2)</f>
        <v>0</v>
      </c>
      <c r="AF63" s="56" t="n">
        <f aca="false">ROUND(V62*(1+N(Debts!$D$11)/12),2)</f>
        <v>0</v>
      </c>
      <c r="AG63" s="56" t="n">
        <f aca="false">ROUND(W62*(1+N(Debts!$D$12)/12),2)</f>
        <v>0</v>
      </c>
      <c r="AH63" s="56" t="n">
        <f aca="false">ROUND(X62*(1+N(Debts!$D$13)/12),2)</f>
        <v>0</v>
      </c>
      <c r="AI63" s="56" t="n">
        <f aca="false">ROUND(Y62*(1+N(Debts!$D$14)/12),2)</f>
        <v>0</v>
      </c>
      <c r="AJ63" s="56" t="n">
        <f aca="false">MIN(Z63,MAX(0,N(Debts!$E$5)))</f>
        <v>0</v>
      </c>
      <c r="AK63" s="56" t="n">
        <f aca="false">MIN(AA63,MAX(0,N(Debts!$E$6)))</f>
        <v>0</v>
      </c>
      <c r="AL63" s="56" t="n">
        <f aca="false">MIN(AB63,MAX(0,N(Debts!$E$7)))</f>
        <v>0</v>
      </c>
      <c r="AM63" s="56" t="n">
        <f aca="false">MIN(AC63,MAX(0,N(Debts!$E$8)))</f>
        <v>0</v>
      </c>
      <c r="AN63" s="56" t="n">
        <f aca="false">MIN(AD63,MAX(0,N(Debts!$E$9)))</f>
        <v>0</v>
      </c>
      <c r="AO63" s="56" t="n">
        <f aca="false">MIN(AE63,MAX(0,N(Debts!$E$10)))</f>
        <v>0</v>
      </c>
      <c r="AP63" s="56" t="n">
        <f aca="false">MIN(AF63,MAX(0,N(Debts!$E$11)))</f>
        <v>0</v>
      </c>
      <c r="AQ63" s="56" t="n">
        <f aca="false">MIN(AG63,MAX(0,N(Debts!$E$12)))</f>
        <v>0</v>
      </c>
      <c r="AR63" s="56" t="n">
        <f aca="false">MIN(AH63,MAX(0,N(Debts!$E$13)))</f>
        <v>0</v>
      </c>
      <c r="AS63" s="56" t="n">
        <f aca="false">MIN(AI63,MAX(0,N(Debts!$E$14)))</f>
        <v>0</v>
      </c>
    </row>
    <row r="64" customFormat="false" ht="15" hidden="false" customHeight="false" outlineLevel="0" collapsed="false">
      <c r="A64" s="53" t="n">
        <v>60</v>
      </c>
      <c r="B64" s="54" t="n">
        <f aca="false">EDATE('Start Here'!$B$8,59)</f>
        <v>48122</v>
      </c>
      <c r="C64" s="42" t="n">
        <f aca="false">SUM(F64:O64)</f>
        <v>0</v>
      </c>
      <c r="D64" s="42" t="n">
        <f aca="false">ROUND(SUM($Z64:$AI64)-SUM(P63:Y63),2)</f>
        <v>0</v>
      </c>
      <c r="E64" s="55" t="n">
        <f aca="false">SUM(P64:Y64)</f>
        <v>0</v>
      </c>
      <c r="F64" s="42" t="n">
        <f aca="false">AJ64+MIN(Z64-AJ64,MAX(0,'Start Here'!$B$10-SUM($AJ64:$AS64)-SUMPRODUCT(($Z$3:$AI$3&lt;Z$3)*($Z64:$AI64-$AJ64:$AS64))))</f>
        <v>0</v>
      </c>
      <c r="G64" s="42" t="n">
        <f aca="false">AK64+MIN(AA64-AK64,MAX(0,'Start Here'!$B$10-SUM($AJ64:$AS64)-SUMPRODUCT(($Z$3:$AI$3&lt;AA$3)*($Z64:$AI64-$AJ64:$AS64))))</f>
        <v>0</v>
      </c>
      <c r="H64" s="42" t="n">
        <f aca="false">AL64+MIN(AB64-AL64,MAX(0,'Start Here'!$B$10-SUM($AJ64:$AS64)-SUMPRODUCT(($Z$3:$AI$3&lt;AB$3)*($Z64:$AI64-$AJ64:$AS64))))</f>
        <v>0</v>
      </c>
      <c r="I64" s="42" t="n">
        <f aca="false">AM64+MIN(AC64-AM64,MAX(0,'Start Here'!$B$10-SUM($AJ64:$AS64)-SUMPRODUCT(($Z$3:$AI$3&lt;AC$3)*($Z64:$AI64-$AJ64:$AS64))))</f>
        <v>0</v>
      </c>
      <c r="J64" s="42" t="n">
        <f aca="false">AN64+MIN(AD64-AN64,MAX(0,'Start Here'!$B$10-SUM($AJ64:$AS64)-SUMPRODUCT(($Z$3:$AI$3&lt;AD$3)*($Z64:$AI64-$AJ64:$AS64))))</f>
        <v>0</v>
      </c>
      <c r="K64" s="42" t="n">
        <f aca="false">AO64+MIN(AE64-AO64,MAX(0,'Start Here'!$B$10-SUM($AJ64:$AS64)-SUMPRODUCT(($Z$3:$AI$3&lt;AE$3)*($Z64:$AI64-$AJ64:$AS64))))</f>
        <v>0</v>
      </c>
      <c r="L64" s="42" t="n">
        <f aca="false">AP64+MIN(AF64-AP64,MAX(0,'Start Here'!$B$10-SUM($AJ64:$AS64)-SUMPRODUCT(($Z$3:$AI$3&lt;AF$3)*($Z64:$AI64-$AJ64:$AS64))))</f>
        <v>0</v>
      </c>
      <c r="M64" s="42" t="n">
        <f aca="false">AQ64+MIN(AG64-AQ64,MAX(0,'Start Here'!$B$10-SUM($AJ64:$AS64)-SUMPRODUCT(($Z$3:$AI$3&lt;AG$3)*($Z64:$AI64-$AJ64:$AS64))))</f>
        <v>0</v>
      </c>
      <c r="N64" s="42" t="n">
        <f aca="false">AR64+MIN(AH64-AR64,MAX(0,'Start Here'!$B$10-SUM($AJ64:$AS64)-SUMPRODUCT(($Z$3:$AI$3&lt;AH$3)*($Z64:$AI64-$AJ64:$AS64))))</f>
        <v>0</v>
      </c>
      <c r="O64" s="42" t="n">
        <f aca="false">AS64+MIN(AI64-AS64,MAX(0,'Start Here'!$B$10-SUM($AJ64:$AS64)-SUMPRODUCT(($Z$3:$AI$3&lt;AI$3)*($Z64:$AI64-$AJ64:$AS64))))</f>
        <v>0</v>
      </c>
      <c r="P64" s="42" t="n">
        <f aca="false">ROUND(Z64-F64,2)</f>
        <v>0</v>
      </c>
      <c r="Q64" s="42" t="n">
        <f aca="false">ROUND(AA64-G64,2)</f>
        <v>0</v>
      </c>
      <c r="R64" s="42" t="n">
        <f aca="false">ROUND(AB64-H64,2)</f>
        <v>0</v>
      </c>
      <c r="S64" s="42" t="n">
        <f aca="false">ROUND(AC64-I64,2)</f>
        <v>0</v>
      </c>
      <c r="T64" s="42" t="n">
        <f aca="false">ROUND(AD64-J64,2)</f>
        <v>0</v>
      </c>
      <c r="U64" s="42" t="n">
        <f aca="false">ROUND(AE64-K64,2)</f>
        <v>0</v>
      </c>
      <c r="V64" s="42" t="n">
        <f aca="false">ROUND(AF64-L64,2)</f>
        <v>0</v>
      </c>
      <c r="W64" s="42" t="n">
        <f aca="false">ROUND(AG64-M64,2)</f>
        <v>0</v>
      </c>
      <c r="X64" s="42" t="n">
        <f aca="false">ROUND(AH64-N64,2)</f>
        <v>0</v>
      </c>
      <c r="Y64" s="42" t="n">
        <f aca="false">ROUND(AI64-O64,2)</f>
        <v>0</v>
      </c>
      <c r="Z64" s="56" t="n">
        <f aca="false">ROUND(P63*(1+N(Debts!$D$5)/12),2)</f>
        <v>0</v>
      </c>
      <c r="AA64" s="56" t="n">
        <f aca="false">ROUND(Q63*(1+N(Debts!$D$6)/12),2)</f>
        <v>0</v>
      </c>
      <c r="AB64" s="56" t="n">
        <f aca="false">ROUND(R63*(1+N(Debts!$D$7)/12),2)</f>
        <v>0</v>
      </c>
      <c r="AC64" s="56" t="n">
        <f aca="false">ROUND(S63*(1+N(Debts!$D$8)/12),2)</f>
        <v>0</v>
      </c>
      <c r="AD64" s="56" t="n">
        <f aca="false">ROUND(T63*(1+N(Debts!$D$9)/12),2)</f>
        <v>0</v>
      </c>
      <c r="AE64" s="56" t="n">
        <f aca="false">ROUND(U63*(1+N(Debts!$D$10)/12),2)</f>
        <v>0</v>
      </c>
      <c r="AF64" s="56" t="n">
        <f aca="false">ROUND(V63*(1+N(Debts!$D$11)/12),2)</f>
        <v>0</v>
      </c>
      <c r="AG64" s="56" t="n">
        <f aca="false">ROUND(W63*(1+N(Debts!$D$12)/12),2)</f>
        <v>0</v>
      </c>
      <c r="AH64" s="56" t="n">
        <f aca="false">ROUND(X63*(1+N(Debts!$D$13)/12),2)</f>
        <v>0</v>
      </c>
      <c r="AI64" s="56" t="n">
        <f aca="false">ROUND(Y63*(1+N(Debts!$D$14)/12),2)</f>
        <v>0</v>
      </c>
      <c r="AJ64" s="56" t="n">
        <f aca="false">MIN(Z64,MAX(0,N(Debts!$E$5)))</f>
        <v>0</v>
      </c>
      <c r="AK64" s="56" t="n">
        <f aca="false">MIN(AA64,MAX(0,N(Debts!$E$6)))</f>
        <v>0</v>
      </c>
      <c r="AL64" s="56" t="n">
        <f aca="false">MIN(AB64,MAX(0,N(Debts!$E$7)))</f>
        <v>0</v>
      </c>
      <c r="AM64" s="56" t="n">
        <f aca="false">MIN(AC64,MAX(0,N(Debts!$E$8)))</f>
        <v>0</v>
      </c>
      <c r="AN64" s="56" t="n">
        <f aca="false">MIN(AD64,MAX(0,N(Debts!$E$9)))</f>
        <v>0</v>
      </c>
      <c r="AO64" s="56" t="n">
        <f aca="false">MIN(AE64,MAX(0,N(Debts!$E$10)))</f>
        <v>0</v>
      </c>
      <c r="AP64" s="56" t="n">
        <f aca="false">MIN(AF64,MAX(0,N(Debts!$E$11)))</f>
        <v>0</v>
      </c>
      <c r="AQ64" s="56" t="n">
        <f aca="false">MIN(AG64,MAX(0,N(Debts!$E$12)))</f>
        <v>0</v>
      </c>
      <c r="AR64" s="56" t="n">
        <f aca="false">MIN(AH64,MAX(0,N(Debts!$E$13)))</f>
        <v>0</v>
      </c>
      <c r="AS64" s="56" t="n">
        <f aca="false">MIN(AI64,MAX(0,N(Debts!$E$14)))</f>
        <v>0</v>
      </c>
    </row>
    <row r="65" customFormat="false" ht="15" hidden="false" customHeight="false" outlineLevel="0" collapsed="false">
      <c r="A65" s="53" t="n">
        <v>61</v>
      </c>
      <c r="B65" s="54" t="n">
        <f aca="false">EDATE('Start Here'!$B$8,60)</f>
        <v>48153</v>
      </c>
      <c r="C65" s="42" t="n">
        <f aca="false">SUM(F65:O65)</f>
        <v>0</v>
      </c>
      <c r="D65" s="42" t="n">
        <f aca="false">ROUND(SUM($Z65:$AI65)-SUM(P64:Y64),2)</f>
        <v>0</v>
      </c>
      <c r="E65" s="55" t="n">
        <f aca="false">SUM(P65:Y65)</f>
        <v>0</v>
      </c>
      <c r="F65" s="42" t="n">
        <f aca="false">AJ65+MIN(Z65-AJ65,MAX(0,'Start Here'!$B$10-SUM($AJ65:$AS65)-SUMPRODUCT(($Z$3:$AI$3&lt;Z$3)*($Z65:$AI65-$AJ65:$AS65))))</f>
        <v>0</v>
      </c>
      <c r="G65" s="42" t="n">
        <f aca="false">AK65+MIN(AA65-AK65,MAX(0,'Start Here'!$B$10-SUM($AJ65:$AS65)-SUMPRODUCT(($Z$3:$AI$3&lt;AA$3)*($Z65:$AI65-$AJ65:$AS65))))</f>
        <v>0</v>
      </c>
      <c r="H65" s="42" t="n">
        <f aca="false">AL65+MIN(AB65-AL65,MAX(0,'Start Here'!$B$10-SUM($AJ65:$AS65)-SUMPRODUCT(($Z$3:$AI$3&lt;AB$3)*($Z65:$AI65-$AJ65:$AS65))))</f>
        <v>0</v>
      </c>
      <c r="I65" s="42" t="n">
        <f aca="false">AM65+MIN(AC65-AM65,MAX(0,'Start Here'!$B$10-SUM($AJ65:$AS65)-SUMPRODUCT(($Z$3:$AI$3&lt;AC$3)*($Z65:$AI65-$AJ65:$AS65))))</f>
        <v>0</v>
      </c>
      <c r="J65" s="42" t="n">
        <f aca="false">AN65+MIN(AD65-AN65,MAX(0,'Start Here'!$B$10-SUM($AJ65:$AS65)-SUMPRODUCT(($Z$3:$AI$3&lt;AD$3)*($Z65:$AI65-$AJ65:$AS65))))</f>
        <v>0</v>
      </c>
      <c r="K65" s="42" t="n">
        <f aca="false">AO65+MIN(AE65-AO65,MAX(0,'Start Here'!$B$10-SUM($AJ65:$AS65)-SUMPRODUCT(($Z$3:$AI$3&lt;AE$3)*($Z65:$AI65-$AJ65:$AS65))))</f>
        <v>0</v>
      </c>
      <c r="L65" s="42" t="n">
        <f aca="false">AP65+MIN(AF65-AP65,MAX(0,'Start Here'!$B$10-SUM($AJ65:$AS65)-SUMPRODUCT(($Z$3:$AI$3&lt;AF$3)*($Z65:$AI65-$AJ65:$AS65))))</f>
        <v>0</v>
      </c>
      <c r="M65" s="42" t="n">
        <f aca="false">AQ65+MIN(AG65-AQ65,MAX(0,'Start Here'!$B$10-SUM($AJ65:$AS65)-SUMPRODUCT(($Z$3:$AI$3&lt;AG$3)*($Z65:$AI65-$AJ65:$AS65))))</f>
        <v>0</v>
      </c>
      <c r="N65" s="42" t="n">
        <f aca="false">AR65+MIN(AH65-AR65,MAX(0,'Start Here'!$B$10-SUM($AJ65:$AS65)-SUMPRODUCT(($Z$3:$AI$3&lt;AH$3)*($Z65:$AI65-$AJ65:$AS65))))</f>
        <v>0</v>
      </c>
      <c r="O65" s="42" t="n">
        <f aca="false">AS65+MIN(AI65-AS65,MAX(0,'Start Here'!$B$10-SUM($AJ65:$AS65)-SUMPRODUCT(($Z$3:$AI$3&lt;AI$3)*($Z65:$AI65-$AJ65:$AS65))))</f>
        <v>0</v>
      </c>
      <c r="P65" s="42" t="n">
        <f aca="false">ROUND(Z65-F65,2)</f>
        <v>0</v>
      </c>
      <c r="Q65" s="42" t="n">
        <f aca="false">ROUND(AA65-G65,2)</f>
        <v>0</v>
      </c>
      <c r="R65" s="42" t="n">
        <f aca="false">ROUND(AB65-H65,2)</f>
        <v>0</v>
      </c>
      <c r="S65" s="42" t="n">
        <f aca="false">ROUND(AC65-I65,2)</f>
        <v>0</v>
      </c>
      <c r="T65" s="42" t="n">
        <f aca="false">ROUND(AD65-J65,2)</f>
        <v>0</v>
      </c>
      <c r="U65" s="42" t="n">
        <f aca="false">ROUND(AE65-K65,2)</f>
        <v>0</v>
      </c>
      <c r="V65" s="42" t="n">
        <f aca="false">ROUND(AF65-L65,2)</f>
        <v>0</v>
      </c>
      <c r="W65" s="42" t="n">
        <f aca="false">ROUND(AG65-M65,2)</f>
        <v>0</v>
      </c>
      <c r="X65" s="42" t="n">
        <f aca="false">ROUND(AH65-N65,2)</f>
        <v>0</v>
      </c>
      <c r="Y65" s="42" t="n">
        <f aca="false">ROUND(AI65-O65,2)</f>
        <v>0</v>
      </c>
      <c r="Z65" s="56" t="n">
        <f aca="false">ROUND(P64*(1+N(Debts!$D$5)/12),2)</f>
        <v>0</v>
      </c>
      <c r="AA65" s="56" t="n">
        <f aca="false">ROUND(Q64*(1+N(Debts!$D$6)/12),2)</f>
        <v>0</v>
      </c>
      <c r="AB65" s="56" t="n">
        <f aca="false">ROUND(R64*(1+N(Debts!$D$7)/12),2)</f>
        <v>0</v>
      </c>
      <c r="AC65" s="56" t="n">
        <f aca="false">ROUND(S64*(1+N(Debts!$D$8)/12),2)</f>
        <v>0</v>
      </c>
      <c r="AD65" s="56" t="n">
        <f aca="false">ROUND(T64*(1+N(Debts!$D$9)/12),2)</f>
        <v>0</v>
      </c>
      <c r="AE65" s="56" t="n">
        <f aca="false">ROUND(U64*(1+N(Debts!$D$10)/12),2)</f>
        <v>0</v>
      </c>
      <c r="AF65" s="56" t="n">
        <f aca="false">ROUND(V64*(1+N(Debts!$D$11)/12),2)</f>
        <v>0</v>
      </c>
      <c r="AG65" s="56" t="n">
        <f aca="false">ROUND(W64*(1+N(Debts!$D$12)/12),2)</f>
        <v>0</v>
      </c>
      <c r="AH65" s="56" t="n">
        <f aca="false">ROUND(X64*(1+N(Debts!$D$13)/12),2)</f>
        <v>0</v>
      </c>
      <c r="AI65" s="56" t="n">
        <f aca="false">ROUND(Y64*(1+N(Debts!$D$14)/12),2)</f>
        <v>0</v>
      </c>
      <c r="AJ65" s="56" t="n">
        <f aca="false">MIN(Z65,MAX(0,N(Debts!$E$5)))</f>
        <v>0</v>
      </c>
      <c r="AK65" s="56" t="n">
        <f aca="false">MIN(AA65,MAX(0,N(Debts!$E$6)))</f>
        <v>0</v>
      </c>
      <c r="AL65" s="56" t="n">
        <f aca="false">MIN(AB65,MAX(0,N(Debts!$E$7)))</f>
        <v>0</v>
      </c>
      <c r="AM65" s="56" t="n">
        <f aca="false">MIN(AC65,MAX(0,N(Debts!$E$8)))</f>
        <v>0</v>
      </c>
      <c r="AN65" s="56" t="n">
        <f aca="false">MIN(AD65,MAX(0,N(Debts!$E$9)))</f>
        <v>0</v>
      </c>
      <c r="AO65" s="56" t="n">
        <f aca="false">MIN(AE65,MAX(0,N(Debts!$E$10)))</f>
        <v>0</v>
      </c>
      <c r="AP65" s="56" t="n">
        <f aca="false">MIN(AF65,MAX(0,N(Debts!$E$11)))</f>
        <v>0</v>
      </c>
      <c r="AQ65" s="56" t="n">
        <f aca="false">MIN(AG65,MAX(0,N(Debts!$E$12)))</f>
        <v>0</v>
      </c>
      <c r="AR65" s="56" t="n">
        <f aca="false">MIN(AH65,MAX(0,N(Debts!$E$13)))</f>
        <v>0</v>
      </c>
      <c r="AS65" s="56" t="n">
        <f aca="false">MIN(AI65,MAX(0,N(Debts!$E$14)))</f>
        <v>0</v>
      </c>
    </row>
    <row r="66" customFormat="false" ht="15" hidden="false" customHeight="false" outlineLevel="0" collapsed="false">
      <c r="A66" s="53" t="n">
        <v>62</v>
      </c>
      <c r="B66" s="54" t="n">
        <f aca="false">EDATE('Start Here'!$B$8,61)</f>
        <v>48183</v>
      </c>
      <c r="C66" s="42" t="n">
        <f aca="false">SUM(F66:O66)</f>
        <v>0</v>
      </c>
      <c r="D66" s="42" t="n">
        <f aca="false">ROUND(SUM($Z66:$AI66)-SUM(P65:Y65),2)</f>
        <v>0</v>
      </c>
      <c r="E66" s="55" t="n">
        <f aca="false">SUM(P66:Y66)</f>
        <v>0</v>
      </c>
      <c r="F66" s="42" t="n">
        <f aca="false">AJ66+MIN(Z66-AJ66,MAX(0,'Start Here'!$B$10-SUM($AJ66:$AS66)-SUMPRODUCT(($Z$3:$AI$3&lt;Z$3)*($Z66:$AI66-$AJ66:$AS66))))</f>
        <v>0</v>
      </c>
      <c r="G66" s="42" t="n">
        <f aca="false">AK66+MIN(AA66-AK66,MAX(0,'Start Here'!$B$10-SUM($AJ66:$AS66)-SUMPRODUCT(($Z$3:$AI$3&lt;AA$3)*($Z66:$AI66-$AJ66:$AS66))))</f>
        <v>0</v>
      </c>
      <c r="H66" s="42" t="n">
        <f aca="false">AL66+MIN(AB66-AL66,MAX(0,'Start Here'!$B$10-SUM($AJ66:$AS66)-SUMPRODUCT(($Z$3:$AI$3&lt;AB$3)*($Z66:$AI66-$AJ66:$AS66))))</f>
        <v>0</v>
      </c>
      <c r="I66" s="42" t="n">
        <f aca="false">AM66+MIN(AC66-AM66,MAX(0,'Start Here'!$B$10-SUM($AJ66:$AS66)-SUMPRODUCT(($Z$3:$AI$3&lt;AC$3)*($Z66:$AI66-$AJ66:$AS66))))</f>
        <v>0</v>
      </c>
      <c r="J66" s="42" t="n">
        <f aca="false">AN66+MIN(AD66-AN66,MAX(0,'Start Here'!$B$10-SUM($AJ66:$AS66)-SUMPRODUCT(($Z$3:$AI$3&lt;AD$3)*($Z66:$AI66-$AJ66:$AS66))))</f>
        <v>0</v>
      </c>
      <c r="K66" s="42" t="n">
        <f aca="false">AO66+MIN(AE66-AO66,MAX(0,'Start Here'!$B$10-SUM($AJ66:$AS66)-SUMPRODUCT(($Z$3:$AI$3&lt;AE$3)*($Z66:$AI66-$AJ66:$AS66))))</f>
        <v>0</v>
      </c>
      <c r="L66" s="42" t="n">
        <f aca="false">AP66+MIN(AF66-AP66,MAX(0,'Start Here'!$B$10-SUM($AJ66:$AS66)-SUMPRODUCT(($Z$3:$AI$3&lt;AF$3)*($Z66:$AI66-$AJ66:$AS66))))</f>
        <v>0</v>
      </c>
      <c r="M66" s="42" t="n">
        <f aca="false">AQ66+MIN(AG66-AQ66,MAX(0,'Start Here'!$B$10-SUM($AJ66:$AS66)-SUMPRODUCT(($Z$3:$AI$3&lt;AG$3)*($Z66:$AI66-$AJ66:$AS66))))</f>
        <v>0</v>
      </c>
      <c r="N66" s="42" t="n">
        <f aca="false">AR66+MIN(AH66-AR66,MAX(0,'Start Here'!$B$10-SUM($AJ66:$AS66)-SUMPRODUCT(($Z$3:$AI$3&lt;AH$3)*($Z66:$AI66-$AJ66:$AS66))))</f>
        <v>0</v>
      </c>
      <c r="O66" s="42" t="n">
        <f aca="false">AS66+MIN(AI66-AS66,MAX(0,'Start Here'!$B$10-SUM($AJ66:$AS66)-SUMPRODUCT(($Z$3:$AI$3&lt;AI$3)*($Z66:$AI66-$AJ66:$AS66))))</f>
        <v>0</v>
      </c>
      <c r="P66" s="42" t="n">
        <f aca="false">ROUND(Z66-F66,2)</f>
        <v>0</v>
      </c>
      <c r="Q66" s="42" t="n">
        <f aca="false">ROUND(AA66-G66,2)</f>
        <v>0</v>
      </c>
      <c r="R66" s="42" t="n">
        <f aca="false">ROUND(AB66-H66,2)</f>
        <v>0</v>
      </c>
      <c r="S66" s="42" t="n">
        <f aca="false">ROUND(AC66-I66,2)</f>
        <v>0</v>
      </c>
      <c r="T66" s="42" t="n">
        <f aca="false">ROUND(AD66-J66,2)</f>
        <v>0</v>
      </c>
      <c r="U66" s="42" t="n">
        <f aca="false">ROUND(AE66-K66,2)</f>
        <v>0</v>
      </c>
      <c r="V66" s="42" t="n">
        <f aca="false">ROUND(AF66-L66,2)</f>
        <v>0</v>
      </c>
      <c r="W66" s="42" t="n">
        <f aca="false">ROUND(AG66-M66,2)</f>
        <v>0</v>
      </c>
      <c r="X66" s="42" t="n">
        <f aca="false">ROUND(AH66-N66,2)</f>
        <v>0</v>
      </c>
      <c r="Y66" s="42" t="n">
        <f aca="false">ROUND(AI66-O66,2)</f>
        <v>0</v>
      </c>
      <c r="Z66" s="56" t="n">
        <f aca="false">ROUND(P65*(1+N(Debts!$D$5)/12),2)</f>
        <v>0</v>
      </c>
      <c r="AA66" s="56" t="n">
        <f aca="false">ROUND(Q65*(1+N(Debts!$D$6)/12),2)</f>
        <v>0</v>
      </c>
      <c r="AB66" s="56" t="n">
        <f aca="false">ROUND(R65*(1+N(Debts!$D$7)/12),2)</f>
        <v>0</v>
      </c>
      <c r="AC66" s="56" t="n">
        <f aca="false">ROUND(S65*(1+N(Debts!$D$8)/12),2)</f>
        <v>0</v>
      </c>
      <c r="AD66" s="56" t="n">
        <f aca="false">ROUND(T65*(1+N(Debts!$D$9)/12),2)</f>
        <v>0</v>
      </c>
      <c r="AE66" s="56" t="n">
        <f aca="false">ROUND(U65*(1+N(Debts!$D$10)/12),2)</f>
        <v>0</v>
      </c>
      <c r="AF66" s="56" t="n">
        <f aca="false">ROUND(V65*(1+N(Debts!$D$11)/12),2)</f>
        <v>0</v>
      </c>
      <c r="AG66" s="56" t="n">
        <f aca="false">ROUND(W65*(1+N(Debts!$D$12)/12),2)</f>
        <v>0</v>
      </c>
      <c r="AH66" s="56" t="n">
        <f aca="false">ROUND(X65*(1+N(Debts!$D$13)/12),2)</f>
        <v>0</v>
      </c>
      <c r="AI66" s="56" t="n">
        <f aca="false">ROUND(Y65*(1+N(Debts!$D$14)/12),2)</f>
        <v>0</v>
      </c>
      <c r="AJ66" s="56" t="n">
        <f aca="false">MIN(Z66,MAX(0,N(Debts!$E$5)))</f>
        <v>0</v>
      </c>
      <c r="AK66" s="56" t="n">
        <f aca="false">MIN(AA66,MAX(0,N(Debts!$E$6)))</f>
        <v>0</v>
      </c>
      <c r="AL66" s="56" t="n">
        <f aca="false">MIN(AB66,MAX(0,N(Debts!$E$7)))</f>
        <v>0</v>
      </c>
      <c r="AM66" s="56" t="n">
        <f aca="false">MIN(AC66,MAX(0,N(Debts!$E$8)))</f>
        <v>0</v>
      </c>
      <c r="AN66" s="56" t="n">
        <f aca="false">MIN(AD66,MAX(0,N(Debts!$E$9)))</f>
        <v>0</v>
      </c>
      <c r="AO66" s="56" t="n">
        <f aca="false">MIN(AE66,MAX(0,N(Debts!$E$10)))</f>
        <v>0</v>
      </c>
      <c r="AP66" s="56" t="n">
        <f aca="false">MIN(AF66,MAX(0,N(Debts!$E$11)))</f>
        <v>0</v>
      </c>
      <c r="AQ66" s="56" t="n">
        <f aca="false">MIN(AG66,MAX(0,N(Debts!$E$12)))</f>
        <v>0</v>
      </c>
      <c r="AR66" s="56" t="n">
        <f aca="false">MIN(AH66,MAX(0,N(Debts!$E$13)))</f>
        <v>0</v>
      </c>
      <c r="AS66" s="56" t="n">
        <f aca="false">MIN(AI66,MAX(0,N(Debts!$E$14)))</f>
        <v>0</v>
      </c>
    </row>
    <row r="67" customFormat="false" ht="15" hidden="false" customHeight="false" outlineLevel="0" collapsed="false">
      <c r="A67" s="53" t="n">
        <v>63</v>
      </c>
      <c r="B67" s="54" t="n">
        <f aca="false">EDATE('Start Here'!$B$8,62)</f>
        <v>48214</v>
      </c>
      <c r="C67" s="42" t="n">
        <f aca="false">SUM(F67:O67)</f>
        <v>0</v>
      </c>
      <c r="D67" s="42" t="n">
        <f aca="false">ROUND(SUM($Z67:$AI67)-SUM(P66:Y66),2)</f>
        <v>0</v>
      </c>
      <c r="E67" s="55" t="n">
        <f aca="false">SUM(P67:Y67)</f>
        <v>0</v>
      </c>
      <c r="F67" s="42" t="n">
        <f aca="false">AJ67+MIN(Z67-AJ67,MAX(0,'Start Here'!$B$10-SUM($AJ67:$AS67)-SUMPRODUCT(($Z$3:$AI$3&lt;Z$3)*($Z67:$AI67-$AJ67:$AS67))))</f>
        <v>0</v>
      </c>
      <c r="G67" s="42" t="n">
        <f aca="false">AK67+MIN(AA67-AK67,MAX(0,'Start Here'!$B$10-SUM($AJ67:$AS67)-SUMPRODUCT(($Z$3:$AI$3&lt;AA$3)*($Z67:$AI67-$AJ67:$AS67))))</f>
        <v>0</v>
      </c>
      <c r="H67" s="42" t="n">
        <f aca="false">AL67+MIN(AB67-AL67,MAX(0,'Start Here'!$B$10-SUM($AJ67:$AS67)-SUMPRODUCT(($Z$3:$AI$3&lt;AB$3)*($Z67:$AI67-$AJ67:$AS67))))</f>
        <v>0</v>
      </c>
      <c r="I67" s="42" t="n">
        <f aca="false">AM67+MIN(AC67-AM67,MAX(0,'Start Here'!$B$10-SUM($AJ67:$AS67)-SUMPRODUCT(($Z$3:$AI$3&lt;AC$3)*($Z67:$AI67-$AJ67:$AS67))))</f>
        <v>0</v>
      </c>
      <c r="J67" s="42" t="n">
        <f aca="false">AN67+MIN(AD67-AN67,MAX(0,'Start Here'!$B$10-SUM($AJ67:$AS67)-SUMPRODUCT(($Z$3:$AI$3&lt;AD$3)*($Z67:$AI67-$AJ67:$AS67))))</f>
        <v>0</v>
      </c>
      <c r="K67" s="42" t="n">
        <f aca="false">AO67+MIN(AE67-AO67,MAX(0,'Start Here'!$B$10-SUM($AJ67:$AS67)-SUMPRODUCT(($Z$3:$AI$3&lt;AE$3)*($Z67:$AI67-$AJ67:$AS67))))</f>
        <v>0</v>
      </c>
      <c r="L67" s="42" t="n">
        <f aca="false">AP67+MIN(AF67-AP67,MAX(0,'Start Here'!$B$10-SUM($AJ67:$AS67)-SUMPRODUCT(($Z$3:$AI$3&lt;AF$3)*($Z67:$AI67-$AJ67:$AS67))))</f>
        <v>0</v>
      </c>
      <c r="M67" s="42" t="n">
        <f aca="false">AQ67+MIN(AG67-AQ67,MAX(0,'Start Here'!$B$10-SUM($AJ67:$AS67)-SUMPRODUCT(($Z$3:$AI$3&lt;AG$3)*($Z67:$AI67-$AJ67:$AS67))))</f>
        <v>0</v>
      </c>
      <c r="N67" s="42" t="n">
        <f aca="false">AR67+MIN(AH67-AR67,MAX(0,'Start Here'!$B$10-SUM($AJ67:$AS67)-SUMPRODUCT(($Z$3:$AI$3&lt;AH$3)*($Z67:$AI67-$AJ67:$AS67))))</f>
        <v>0</v>
      </c>
      <c r="O67" s="42" t="n">
        <f aca="false">AS67+MIN(AI67-AS67,MAX(0,'Start Here'!$B$10-SUM($AJ67:$AS67)-SUMPRODUCT(($Z$3:$AI$3&lt;AI$3)*($Z67:$AI67-$AJ67:$AS67))))</f>
        <v>0</v>
      </c>
      <c r="P67" s="42" t="n">
        <f aca="false">ROUND(Z67-F67,2)</f>
        <v>0</v>
      </c>
      <c r="Q67" s="42" t="n">
        <f aca="false">ROUND(AA67-G67,2)</f>
        <v>0</v>
      </c>
      <c r="R67" s="42" t="n">
        <f aca="false">ROUND(AB67-H67,2)</f>
        <v>0</v>
      </c>
      <c r="S67" s="42" t="n">
        <f aca="false">ROUND(AC67-I67,2)</f>
        <v>0</v>
      </c>
      <c r="T67" s="42" t="n">
        <f aca="false">ROUND(AD67-J67,2)</f>
        <v>0</v>
      </c>
      <c r="U67" s="42" t="n">
        <f aca="false">ROUND(AE67-K67,2)</f>
        <v>0</v>
      </c>
      <c r="V67" s="42" t="n">
        <f aca="false">ROUND(AF67-L67,2)</f>
        <v>0</v>
      </c>
      <c r="W67" s="42" t="n">
        <f aca="false">ROUND(AG67-M67,2)</f>
        <v>0</v>
      </c>
      <c r="X67" s="42" t="n">
        <f aca="false">ROUND(AH67-N67,2)</f>
        <v>0</v>
      </c>
      <c r="Y67" s="42" t="n">
        <f aca="false">ROUND(AI67-O67,2)</f>
        <v>0</v>
      </c>
      <c r="Z67" s="56" t="n">
        <f aca="false">ROUND(P66*(1+N(Debts!$D$5)/12),2)</f>
        <v>0</v>
      </c>
      <c r="AA67" s="56" t="n">
        <f aca="false">ROUND(Q66*(1+N(Debts!$D$6)/12),2)</f>
        <v>0</v>
      </c>
      <c r="AB67" s="56" t="n">
        <f aca="false">ROUND(R66*(1+N(Debts!$D$7)/12),2)</f>
        <v>0</v>
      </c>
      <c r="AC67" s="56" t="n">
        <f aca="false">ROUND(S66*(1+N(Debts!$D$8)/12),2)</f>
        <v>0</v>
      </c>
      <c r="AD67" s="56" t="n">
        <f aca="false">ROUND(T66*(1+N(Debts!$D$9)/12),2)</f>
        <v>0</v>
      </c>
      <c r="AE67" s="56" t="n">
        <f aca="false">ROUND(U66*(1+N(Debts!$D$10)/12),2)</f>
        <v>0</v>
      </c>
      <c r="AF67" s="56" t="n">
        <f aca="false">ROUND(V66*(1+N(Debts!$D$11)/12),2)</f>
        <v>0</v>
      </c>
      <c r="AG67" s="56" t="n">
        <f aca="false">ROUND(W66*(1+N(Debts!$D$12)/12),2)</f>
        <v>0</v>
      </c>
      <c r="AH67" s="56" t="n">
        <f aca="false">ROUND(X66*(1+N(Debts!$D$13)/12),2)</f>
        <v>0</v>
      </c>
      <c r="AI67" s="56" t="n">
        <f aca="false">ROUND(Y66*(1+N(Debts!$D$14)/12),2)</f>
        <v>0</v>
      </c>
      <c r="AJ67" s="56" t="n">
        <f aca="false">MIN(Z67,MAX(0,N(Debts!$E$5)))</f>
        <v>0</v>
      </c>
      <c r="AK67" s="56" t="n">
        <f aca="false">MIN(AA67,MAX(0,N(Debts!$E$6)))</f>
        <v>0</v>
      </c>
      <c r="AL67" s="56" t="n">
        <f aca="false">MIN(AB67,MAX(0,N(Debts!$E$7)))</f>
        <v>0</v>
      </c>
      <c r="AM67" s="56" t="n">
        <f aca="false">MIN(AC67,MAX(0,N(Debts!$E$8)))</f>
        <v>0</v>
      </c>
      <c r="AN67" s="56" t="n">
        <f aca="false">MIN(AD67,MAX(0,N(Debts!$E$9)))</f>
        <v>0</v>
      </c>
      <c r="AO67" s="56" t="n">
        <f aca="false">MIN(AE67,MAX(0,N(Debts!$E$10)))</f>
        <v>0</v>
      </c>
      <c r="AP67" s="56" t="n">
        <f aca="false">MIN(AF67,MAX(0,N(Debts!$E$11)))</f>
        <v>0</v>
      </c>
      <c r="AQ67" s="56" t="n">
        <f aca="false">MIN(AG67,MAX(0,N(Debts!$E$12)))</f>
        <v>0</v>
      </c>
      <c r="AR67" s="56" t="n">
        <f aca="false">MIN(AH67,MAX(0,N(Debts!$E$13)))</f>
        <v>0</v>
      </c>
      <c r="AS67" s="56" t="n">
        <f aca="false">MIN(AI67,MAX(0,N(Debts!$E$14)))</f>
        <v>0</v>
      </c>
    </row>
    <row r="68" customFormat="false" ht="15" hidden="false" customHeight="false" outlineLevel="0" collapsed="false">
      <c r="A68" s="53" t="n">
        <v>64</v>
      </c>
      <c r="B68" s="54" t="n">
        <f aca="false">EDATE('Start Here'!$B$8,63)</f>
        <v>48245</v>
      </c>
      <c r="C68" s="42" t="n">
        <f aca="false">SUM(F68:O68)</f>
        <v>0</v>
      </c>
      <c r="D68" s="42" t="n">
        <f aca="false">ROUND(SUM($Z68:$AI68)-SUM(P67:Y67),2)</f>
        <v>0</v>
      </c>
      <c r="E68" s="55" t="n">
        <f aca="false">SUM(P68:Y68)</f>
        <v>0</v>
      </c>
      <c r="F68" s="42" t="n">
        <f aca="false">AJ68+MIN(Z68-AJ68,MAX(0,'Start Here'!$B$10-SUM($AJ68:$AS68)-SUMPRODUCT(($Z$3:$AI$3&lt;Z$3)*($Z68:$AI68-$AJ68:$AS68))))</f>
        <v>0</v>
      </c>
      <c r="G68" s="42" t="n">
        <f aca="false">AK68+MIN(AA68-AK68,MAX(0,'Start Here'!$B$10-SUM($AJ68:$AS68)-SUMPRODUCT(($Z$3:$AI$3&lt;AA$3)*($Z68:$AI68-$AJ68:$AS68))))</f>
        <v>0</v>
      </c>
      <c r="H68" s="42" t="n">
        <f aca="false">AL68+MIN(AB68-AL68,MAX(0,'Start Here'!$B$10-SUM($AJ68:$AS68)-SUMPRODUCT(($Z$3:$AI$3&lt;AB$3)*($Z68:$AI68-$AJ68:$AS68))))</f>
        <v>0</v>
      </c>
      <c r="I68" s="42" t="n">
        <f aca="false">AM68+MIN(AC68-AM68,MAX(0,'Start Here'!$B$10-SUM($AJ68:$AS68)-SUMPRODUCT(($Z$3:$AI$3&lt;AC$3)*($Z68:$AI68-$AJ68:$AS68))))</f>
        <v>0</v>
      </c>
      <c r="J68" s="42" t="n">
        <f aca="false">AN68+MIN(AD68-AN68,MAX(0,'Start Here'!$B$10-SUM($AJ68:$AS68)-SUMPRODUCT(($Z$3:$AI$3&lt;AD$3)*($Z68:$AI68-$AJ68:$AS68))))</f>
        <v>0</v>
      </c>
      <c r="K68" s="42" t="n">
        <f aca="false">AO68+MIN(AE68-AO68,MAX(0,'Start Here'!$B$10-SUM($AJ68:$AS68)-SUMPRODUCT(($Z$3:$AI$3&lt;AE$3)*($Z68:$AI68-$AJ68:$AS68))))</f>
        <v>0</v>
      </c>
      <c r="L68" s="42" t="n">
        <f aca="false">AP68+MIN(AF68-AP68,MAX(0,'Start Here'!$B$10-SUM($AJ68:$AS68)-SUMPRODUCT(($Z$3:$AI$3&lt;AF$3)*($Z68:$AI68-$AJ68:$AS68))))</f>
        <v>0</v>
      </c>
      <c r="M68" s="42" t="n">
        <f aca="false">AQ68+MIN(AG68-AQ68,MAX(0,'Start Here'!$B$10-SUM($AJ68:$AS68)-SUMPRODUCT(($Z$3:$AI$3&lt;AG$3)*($Z68:$AI68-$AJ68:$AS68))))</f>
        <v>0</v>
      </c>
      <c r="N68" s="42" t="n">
        <f aca="false">AR68+MIN(AH68-AR68,MAX(0,'Start Here'!$B$10-SUM($AJ68:$AS68)-SUMPRODUCT(($Z$3:$AI$3&lt;AH$3)*($Z68:$AI68-$AJ68:$AS68))))</f>
        <v>0</v>
      </c>
      <c r="O68" s="42" t="n">
        <f aca="false">AS68+MIN(AI68-AS68,MAX(0,'Start Here'!$B$10-SUM($AJ68:$AS68)-SUMPRODUCT(($Z$3:$AI$3&lt;AI$3)*($Z68:$AI68-$AJ68:$AS68))))</f>
        <v>0</v>
      </c>
      <c r="P68" s="42" t="n">
        <f aca="false">ROUND(Z68-F68,2)</f>
        <v>0</v>
      </c>
      <c r="Q68" s="42" t="n">
        <f aca="false">ROUND(AA68-G68,2)</f>
        <v>0</v>
      </c>
      <c r="R68" s="42" t="n">
        <f aca="false">ROUND(AB68-H68,2)</f>
        <v>0</v>
      </c>
      <c r="S68" s="42" t="n">
        <f aca="false">ROUND(AC68-I68,2)</f>
        <v>0</v>
      </c>
      <c r="T68" s="42" t="n">
        <f aca="false">ROUND(AD68-J68,2)</f>
        <v>0</v>
      </c>
      <c r="U68" s="42" t="n">
        <f aca="false">ROUND(AE68-K68,2)</f>
        <v>0</v>
      </c>
      <c r="V68" s="42" t="n">
        <f aca="false">ROUND(AF68-L68,2)</f>
        <v>0</v>
      </c>
      <c r="W68" s="42" t="n">
        <f aca="false">ROUND(AG68-M68,2)</f>
        <v>0</v>
      </c>
      <c r="X68" s="42" t="n">
        <f aca="false">ROUND(AH68-N68,2)</f>
        <v>0</v>
      </c>
      <c r="Y68" s="42" t="n">
        <f aca="false">ROUND(AI68-O68,2)</f>
        <v>0</v>
      </c>
      <c r="Z68" s="56" t="n">
        <f aca="false">ROUND(P67*(1+N(Debts!$D$5)/12),2)</f>
        <v>0</v>
      </c>
      <c r="AA68" s="56" t="n">
        <f aca="false">ROUND(Q67*(1+N(Debts!$D$6)/12),2)</f>
        <v>0</v>
      </c>
      <c r="AB68" s="56" t="n">
        <f aca="false">ROUND(R67*(1+N(Debts!$D$7)/12),2)</f>
        <v>0</v>
      </c>
      <c r="AC68" s="56" t="n">
        <f aca="false">ROUND(S67*(1+N(Debts!$D$8)/12),2)</f>
        <v>0</v>
      </c>
      <c r="AD68" s="56" t="n">
        <f aca="false">ROUND(T67*(1+N(Debts!$D$9)/12),2)</f>
        <v>0</v>
      </c>
      <c r="AE68" s="56" t="n">
        <f aca="false">ROUND(U67*(1+N(Debts!$D$10)/12),2)</f>
        <v>0</v>
      </c>
      <c r="AF68" s="56" t="n">
        <f aca="false">ROUND(V67*(1+N(Debts!$D$11)/12),2)</f>
        <v>0</v>
      </c>
      <c r="AG68" s="56" t="n">
        <f aca="false">ROUND(W67*(1+N(Debts!$D$12)/12),2)</f>
        <v>0</v>
      </c>
      <c r="AH68" s="56" t="n">
        <f aca="false">ROUND(X67*(1+N(Debts!$D$13)/12),2)</f>
        <v>0</v>
      </c>
      <c r="AI68" s="56" t="n">
        <f aca="false">ROUND(Y67*(1+N(Debts!$D$14)/12),2)</f>
        <v>0</v>
      </c>
      <c r="AJ68" s="56" t="n">
        <f aca="false">MIN(Z68,MAX(0,N(Debts!$E$5)))</f>
        <v>0</v>
      </c>
      <c r="AK68" s="56" t="n">
        <f aca="false">MIN(AA68,MAX(0,N(Debts!$E$6)))</f>
        <v>0</v>
      </c>
      <c r="AL68" s="56" t="n">
        <f aca="false">MIN(AB68,MAX(0,N(Debts!$E$7)))</f>
        <v>0</v>
      </c>
      <c r="AM68" s="56" t="n">
        <f aca="false">MIN(AC68,MAX(0,N(Debts!$E$8)))</f>
        <v>0</v>
      </c>
      <c r="AN68" s="56" t="n">
        <f aca="false">MIN(AD68,MAX(0,N(Debts!$E$9)))</f>
        <v>0</v>
      </c>
      <c r="AO68" s="56" t="n">
        <f aca="false">MIN(AE68,MAX(0,N(Debts!$E$10)))</f>
        <v>0</v>
      </c>
      <c r="AP68" s="56" t="n">
        <f aca="false">MIN(AF68,MAX(0,N(Debts!$E$11)))</f>
        <v>0</v>
      </c>
      <c r="AQ68" s="56" t="n">
        <f aca="false">MIN(AG68,MAX(0,N(Debts!$E$12)))</f>
        <v>0</v>
      </c>
      <c r="AR68" s="56" t="n">
        <f aca="false">MIN(AH68,MAX(0,N(Debts!$E$13)))</f>
        <v>0</v>
      </c>
      <c r="AS68" s="56" t="n">
        <f aca="false">MIN(AI68,MAX(0,N(Debts!$E$14)))</f>
        <v>0</v>
      </c>
    </row>
    <row r="69" customFormat="false" ht="15" hidden="false" customHeight="false" outlineLevel="0" collapsed="false">
      <c r="A69" s="53" t="n">
        <v>65</v>
      </c>
      <c r="B69" s="54" t="n">
        <f aca="false">EDATE('Start Here'!$B$8,64)</f>
        <v>48274</v>
      </c>
      <c r="C69" s="42" t="n">
        <f aca="false">SUM(F69:O69)</f>
        <v>0</v>
      </c>
      <c r="D69" s="42" t="n">
        <f aca="false">ROUND(SUM($Z69:$AI69)-SUM(P68:Y68),2)</f>
        <v>0</v>
      </c>
      <c r="E69" s="55" t="n">
        <f aca="false">SUM(P69:Y69)</f>
        <v>0</v>
      </c>
      <c r="F69" s="42" t="n">
        <f aca="false">AJ69+MIN(Z69-AJ69,MAX(0,'Start Here'!$B$10-SUM($AJ69:$AS69)-SUMPRODUCT(($Z$3:$AI$3&lt;Z$3)*($Z69:$AI69-$AJ69:$AS69))))</f>
        <v>0</v>
      </c>
      <c r="G69" s="42" t="n">
        <f aca="false">AK69+MIN(AA69-AK69,MAX(0,'Start Here'!$B$10-SUM($AJ69:$AS69)-SUMPRODUCT(($Z$3:$AI$3&lt;AA$3)*($Z69:$AI69-$AJ69:$AS69))))</f>
        <v>0</v>
      </c>
      <c r="H69" s="42" t="n">
        <f aca="false">AL69+MIN(AB69-AL69,MAX(0,'Start Here'!$B$10-SUM($AJ69:$AS69)-SUMPRODUCT(($Z$3:$AI$3&lt;AB$3)*($Z69:$AI69-$AJ69:$AS69))))</f>
        <v>0</v>
      </c>
      <c r="I69" s="42" t="n">
        <f aca="false">AM69+MIN(AC69-AM69,MAX(0,'Start Here'!$B$10-SUM($AJ69:$AS69)-SUMPRODUCT(($Z$3:$AI$3&lt;AC$3)*($Z69:$AI69-$AJ69:$AS69))))</f>
        <v>0</v>
      </c>
      <c r="J69" s="42" t="n">
        <f aca="false">AN69+MIN(AD69-AN69,MAX(0,'Start Here'!$B$10-SUM($AJ69:$AS69)-SUMPRODUCT(($Z$3:$AI$3&lt;AD$3)*($Z69:$AI69-$AJ69:$AS69))))</f>
        <v>0</v>
      </c>
      <c r="K69" s="42" t="n">
        <f aca="false">AO69+MIN(AE69-AO69,MAX(0,'Start Here'!$B$10-SUM($AJ69:$AS69)-SUMPRODUCT(($Z$3:$AI$3&lt;AE$3)*($Z69:$AI69-$AJ69:$AS69))))</f>
        <v>0</v>
      </c>
      <c r="L69" s="42" t="n">
        <f aca="false">AP69+MIN(AF69-AP69,MAX(0,'Start Here'!$B$10-SUM($AJ69:$AS69)-SUMPRODUCT(($Z$3:$AI$3&lt;AF$3)*($Z69:$AI69-$AJ69:$AS69))))</f>
        <v>0</v>
      </c>
      <c r="M69" s="42" t="n">
        <f aca="false">AQ69+MIN(AG69-AQ69,MAX(0,'Start Here'!$B$10-SUM($AJ69:$AS69)-SUMPRODUCT(($Z$3:$AI$3&lt;AG$3)*($Z69:$AI69-$AJ69:$AS69))))</f>
        <v>0</v>
      </c>
      <c r="N69" s="42" t="n">
        <f aca="false">AR69+MIN(AH69-AR69,MAX(0,'Start Here'!$B$10-SUM($AJ69:$AS69)-SUMPRODUCT(($Z$3:$AI$3&lt;AH$3)*($Z69:$AI69-$AJ69:$AS69))))</f>
        <v>0</v>
      </c>
      <c r="O69" s="42" t="n">
        <f aca="false">AS69+MIN(AI69-AS69,MAX(0,'Start Here'!$B$10-SUM($AJ69:$AS69)-SUMPRODUCT(($Z$3:$AI$3&lt;AI$3)*($Z69:$AI69-$AJ69:$AS69))))</f>
        <v>0</v>
      </c>
      <c r="P69" s="42" t="n">
        <f aca="false">ROUND(Z69-F69,2)</f>
        <v>0</v>
      </c>
      <c r="Q69" s="42" t="n">
        <f aca="false">ROUND(AA69-G69,2)</f>
        <v>0</v>
      </c>
      <c r="R69" s="42" t="n">
        <f aca="false">ROUND(AB69-H69,2)</f>
        <v>0</v>
      </c>
      <c r="S69" s="42" t="n">
        <f aca="false">ROUND(AC69-I69,2)</f>
        <v>0</v>
      </c>
      <c r="T69" s="42" t="n">
        <f aca="false">ROUND(AD69-J69,2)</f>
        <v>0</v>
      </c>
      <c r="U69" s="42" t="n">
        <f aca="false">ROUND(AE69-K69,2)</f>
        <v>0</v>
      </c>
      <c r="V69" s="42" t="n">
        <f aca="false">ROUND(AF69-L69,2)</f>
        <v>0</v>
      </c>
      <c r="W69" s="42" t="n">
        <f aca="false">ROUND(AG69-M69,2)</f>
        <v>0</v>
      </c>
      <c r="X69" s="42" t="n">
        <f aca="false">ROUND(AH69-N69,2)</f>
        <v>0</v>
      </c>
      <c r="Y69" s="42" t="n">
        <f aca="false">ROUND(AI69-O69,2)</f>
        <v>0</v>
      </c>
      <c r="Z69" s="56" t="n">
        <f aca="false">ROUND(P68*(1+N(Debts!$D$5)/12),2)</f>
        <v>0</v>
      </c>
      <c r="AA69" s="56" t="n">
        <f aca="false">ROUND(Q68*(1+N(Debts!$D$6)/12),2)</f>
        <v>0</v>
      </c>
      <c r="AB69" s="56" t="n">
        <f aca="false">ROUND(R68*(1+N(Debts!$D$7)/12),2)</f>
        <v>0</v>
      </c>
      <c r="AC69" s="56" t="n">
        <f aca="false">ROUND(S68*(1+N(Debts!$D$8)/12),2)</f>
        <v>0</v>
      </c>
      <c r="AD69" s="56" t="n">
        <f aca="false">ROUND(T68*(1+N(Debts!$D$9)/12),2)</f>
        <v>0</v>
      </c>
      <c r="AE69" s="56" t="n">
        <f aca="false">ROUND(U68*(1+N(Debts!$D$10)/12),2)</f>
        <v>0</v>
      </c>
      <c r="AF69" s="56" t="n">
        <f aca="false">ROUND(V68*(1+N(Debts!$D$11)/12),2)</f>
        <v>0</v>
      </c>
      <c r="AG69" s="56" t="n">
        <f aca="false">ROUND(W68*(1+N(Debts!$D$12)/12),2)</f>
        <v>0</v>
      </c>
      <c r="AH69" s="56" t="n">
        <f aca="false">ROUND(X68*(1+N(Debts!$D$13)/12),2)</f>
        <v>0</v>
      </c>
      <c r="AI69" s="56" t="n">
        <f aca="false">ROUND(Y68*(1+N(Debts!$D$14)/12),2)</f>
        <v>0</v>
      </c>
      <c r="AJ69" s="56" t="n">
        <f aca="false">MIN(Z69,MAX(0,N(Debts!$E$5)))</f>
        <v>0</v>
      </c>
      <c r="AK69" s="56" t="n">
        <f aca="false">MIN(AA69,MAX(0,N(Debts!$E$6)))</f>
        <v>0</v>
      </c>
      <c r="AL69" s="56" t="n">
        <f aca="false">MIN(AB69,MAX(0,N(Debts!$E$7)))</f>
        <v>0</v>
      </c>
      <c r="AM69" s="56" t="n">
        <f aca="false">MIN(AC69,MAX(0,N(Debts!$E$8)))</f>
        <v>0</v>
      </c>
      <c r="AN69" s="56" t="n">
        <f aca="false">MIN(AD69,MAX(0,N(Debts!$E$9)))</f>
        <v>0</v>
      </c>
      <c r="AO69" s="56" t="n">
        <f aca="false">MIN(AE69,MAX(0,N(Debts!$E$10)))</f>
        <v>0</v>
      </c>
      <c r="AP69" s="56" t="n">
        <f aca="false">MIN(AF69,MAX(0,N(Debts!$E$11)))</f>
        <v>0</v>
      </c>
      <c r="AQ69" s="56" t="n">
        <f aca="false">MIN(AG69,MAX(0,N(Debts!$E$12)))</f>
        <v>0</v>
      </c>
      <c r="AR69" s="56" t="n">
        <f aca="false">MIN(AH69,MAX(0,N(Debts!$E$13)))</f>
        <v>0</v>
      </c>
      <c r="AS69" s="56" t="n">
        <f aca="false">MIN(AI69,MAX(0,N(Debts!$E$14)))</f>
        <v>0</v>
      </c>
    </row>
    <row r="70" customFormat="false" ht="15" hidden="false" customHeight="false" outlineLevel="0" collapsed="false">
      <c r="A70" s="53" t="n">
        <v>66</v>
      </c>
      <c r="B70" s="54" t="n">
        <f aca="false">EDATE('Start Here'!$B$8,65)</f>
        <v>48305</v>
      </c>
      <c r="C70" s="42" t="n">
        <f aca="false">SUM(F70:O70)</f>
        <v>0</v>
      </c>
      <c r="D70" s="42" t="n">
        <f aca="false">ROUND(SUM($Z70:$AI70)-SUM(P69:Y69),2)</f>
        <v>0</v>
      </c>
      <c r="E70" s="55" t="n">
        <f aca="false">SUM(P70:Y70)</f>
        <v>0</v>
      </c>
      <c r="F70" s="42" t="n">
        <f aca="false">AJ70+MIN(Z70-AJ70,MAX(0,'Start Here'!$B$10-SUM($AJ70:$AS70)-SUMPRODUCT(($Z$3:$AI$3&lt;Z$3)*($Z70:$AI70-$AJ70:$AS70))))</f>
        <v>0</v>
      </c>
      <c r="G70" s="42" t="n">
        <f aca="false">AK70+MIN(AA70-AK70,MAX(0,'Start Here'!$B$10-SUM($AJ70:$AS70)-SUMPRODUCT(($Z$3:$AI$3&lt;AA$3)*($Z70:$AI70-$AJ70:$AS70))))</f>
        <v>0</v>
      </c>
      <c r="H70" s="42" t="n">
        <f aca="false">AL70+MIN(AB70-AL70,MAX(0,'Start Here'!$B$10-SUM($AJ70:$AS70)-SUMPRODUCT(($Z$3:$AI$3&lt;AB$3)*($Z70:$AI70-$AJ70:$AS70))))</f>
        <v>0</v>
      </c>
      <c r="I70" s="42" t="n">
        <f aca="false">AM70+MIN(AC70-AM70,MAX(0,'Start Here'!$B$10-SUM($AJ70:$AS70)-SUMPRODUCT(($Z$3:$AI$3&lt;AC$3)*($Z70:$AI70-$AJ70:$AS70))))</f>
        <v>0</v>
      </c>
      <c r="J70" s="42" t="n">
        <f aca="false">AN70+MIN(AD70-AN70,MAX(0,'Start Here'!$B$10-SUM($AJ70:$AS70)-SUMPRODUCT(($Z$3:$AI$3&lt;AD$3)*($Z70:$AI70-$AJ70:$AS70))))</f>
        <v>0</v>
      </c>
      <c r="K70" s="42" t="n">
        <f aca="false">AO70+MIN(AE70-AO70,MAX(0,'Start Here'!$B$10-SUM($AJ70:$AS70)-SUMPRODUCT(($Z$3:$AI$3&lt;AE$3)*($Z70:$AI70-$AJ70:$AS70))))</f>
        <v>0</v>
      </c>
      <c r="L70" s="42" t="n">
        <f aca="false">AP70+MIN(AF70-AP70,MAX(0,'Start Here'!$B$10-SUM($AJ70:$AS70)-SUMPRODUCT(($Z$3:$AI$3&lt;AF$3)*($Z70:$AI70-$AJ70:$AS70))))</f>
        <v>0</v>
      </c>
      <c r="M70" s="42" t="n">
        <f aca="false">AQ70+MIN(AG70-AQ70,MAX(0,'Start Here'!$B$10-SUM($AJ70:$AS70)-SUMPRODUCT(($Z$3:$AI$3&lt;AG$3)*($Z70:$AI70-$AJ70:$AS70))))</f>
        <v>0</v>
      </c>
      <c r="N70" s="42" t="n">
        <f aca="false">AR70+MIN(AH70-AR70,MAX(0,'Start Here'!$B$10-SUM($AJ70:$AS70)-SUMPRODUCT(($Z$3:$AI$3&lt;AH$3)*($Z70:$AI70-$AJ70:$AS70))))</f>
        <v>0</v>
      </c>
      <c r="O70" s="42" t="n">
        <f aca="false">AS70+MIN(AI70-AS70,MAX(0,'Start Here'!$B$10-SUM($AJ70:$AS70)-SUMPRODUCT(($Z$3:$AI$3&lt;AI$3)*($Z70:$AI70-$AJ70:$AS70))))</f>
        <v>0</v>
      </c>
      <c r="P70" s="42" t="n">
        <f aca="false">ROUND(Z70-F70,2)</f>
        <v>0</v>
      </c>
      <c r="Q70" s="42" t="n">
        <f aca="false">ROUND(AA70-G70,2)</f>
        <v>0</v>
      </c>
      <c r="R70" s="42" t="n">
        <f aca="false">ROUND(AB70-H70,2)</f>
        <v>0</v>
      </c>
      <c r="S70" s="42" t="n">
        <f aca="false">ROUND(AC70-I70,2)</f>
        <v>0</v>
      </c>
      <c r="T70" s="42" t="n">
        <f aca="false">ROUND(AD70-J70,2)</f>
        <v>0</v>
      </c>
      <c r="U70" s="42" t="n">
        <f aca="false">ROUND(AE70-K70,2)</f>
        <v>0</v>
      </c>
      <c r="V70" s="42" t="n">
        <f aca="false">ROUND(AF70-L70,2)</f>
        <v>0</v>
      </c>
      <c r="W70" s="42" t="n">
        <f aca="false">ROUND(AG70-M70,2)</f>
        <v>0</v>
      </c>
      <c r="X70" s="42" t="n">
        <f aca="false">ROUND(AH70-N70,2)</f>
        <v>0</v>
      </c>
      <c r="Y70" s="42" t="n">
        <f aca="false">ROUND(AI70-O70,2)</f>
        <v>0</v>
      </c>
      <c r="Z70" s="56" t="n">
        <f aca="false">ROUND(P69*(1+N(Debts!$D$5)/12),2)</f>
        <v>0</v>
      </c>
      <c r="AA70" s="56" t="n">
        <f aca="false">ROUND(Q69*(1+N(Debts!$D$6)/12),2)</f>
        <v>0</v>
      </c>
      <c r="AB70" s="56" t="n">
        <f aca="false">ROUND(R69*(1+N(Debts!$D$7)/12),2)</f>
        <v>0</v>
      </c>
      <c r="AC70" s="56" t="n">
        <f aca="false">ROUND(S69*(1+N(Debts!$D$8)/12),2)</f>
        <v>0</v>
      </c>
      <c r="AD70" s="56" t="n">
        <f aca="false">ROUND(T69*(1+N(Debts!$D$9)/12),2)</f>
        <v>0</v>
      </c>
      <c r="AE70" s="56" t="n">
        <f aca="false">ROUND(U69*(1+N(Debts!$D$10)/12),2)</f>
        <v>0</v>
      </c>
      <c r="AF70" s="56" t="n">
        <f aca="false">ROUND(V69*(1+N(Debts!$D$11)/12),2)</f>
        <v>0</v>
      </c>
      <c r="AG70" s="56" t="n">
        <f aca="false">ROUND(W69*(1+N(Debts!$D$12)/12),2)</f>
        <v>0</v>
      </c>
      <c r="AH70" s="56" t="n">
        <f aca="false">ROUND(X69*(1+N(Debts!$D$13)/12),2)</f>
        <v>0</v>
      </c>
      <c r="AI70" s="56" t="n">
        <f aca="false">ROUND(Y69*(1+N(Debts!$D$14)/12),2)</f>
        <v>0</v>
      </c>
      <c r="AJ70" s="56" t="n">
        <f aca="false">MIN(Z70,MAX(0,N(Debts!$E$5)))</f>
        <v>0</v>
      </c>
      <c r="AK70" s="56" t="n">
        <f aca="false">MIN(AA70,MAX(0,N(Debts!$E$6)))</f>
        <v>0</v>
      </c>
      <c r="AL70" s="56" t="n">
        <f aca="false">MIN(AB70,MAX(0,N(Debts!$E$7)))</f>
        <v>0</v>
      </c>
      <c r="AM70" s="56" t="n">
        <f aca="false">MIN(AC70,MAX(0,N(Debts!$E$8)))</f>
        <v>0</v>
      </c>
      <c r="AN70" s="56" t="n">
        <f aca="false">MIN(AD70,MAX(0,N(Debts!$E$9)))</f>
        <v>0</v>
      </c>
      <c r="AO70" s="56" t="n">
        <f aca="false">MIN(AE70,MAX(0,N(Debts!$E$10)))</f>
        <v>0</v>
      </c>
      <c r="AP70" s="56" t="n">
        <f aca="false">MIN(AF70,MAX(0,N(Debts!$E$11)))</f>
        <v>0</v>
      </c>
      <c r="AQ70" s="56" t="n">
        <f aca="false">MIN(AG70,MAX(0,N(Debts!$E$12)))</f>
        <v>0</v>
      </c>
      <c r="AR70" s="56" t="n">
        <f aca="false">MIN(AH70,MAX(0,N(Debts!$E$13)))</f>
        <v>0</v>
      </c>
      <c r="AS70" s="56" t="n">
        <f aca="false">MIN(AI70,MAX(0,N(Debts!$E$14)))</f>
        <v>0</v>
      </c>
    </row>
    <row r="71" customFormat="false" ht="15" hidden="false" customHeight="false" outlineLevel="0" collapsed="false">
      <c r="A71" s="53" t="n">
        <v>67</v>
      </c>
      <c r="B71" s="54" t="n">
        <f aca="false">EDATE('Start Here'!$B$8,66)</f>
        <v>48335</v>
      </c>
      <c r="C71" s="42" t="n">
        <f aca="false">SUM(F71:O71)</f>
        <v>0</v>
      </c>
      <c r="D71" s="42" t="n">
        <f aca="false">ROUND(SUM($Z71:$AI71)-SUM(P70:Y70),2)</f>
        <v>0</v>
      </c>
      <c r="E71" s="55" t="n">
        <f aca="false">SUM(P71:Y71)</f>
        <v>0</v>
      </c>
      <c r="F71" s="42" t="n">
        <f aca="false">AJ71+MIN(Z71-AJ71,MAX(0,'Start Here'!$B$10-SUM($AJ71:$AS71)-SUMPRODUCT(($Z$3:$AI$3&lt;Z$3)*($Z71:$AI71-$AJ71:$AS71))))</f>
        <v>0</v>
      </c>
      <c r="G71" s="42" t="n">
        <f aca="false">AK71+MIN(AA71-AK71,MAX(0,'Start Here'!$B$10-SUM($AJ71:$AS71)-SUMPRODUCT(($Z$3:$AI$3&lt;AA$3)*($Z71:$AI71-$AJ71:$AS71))))</f>
        <v>0</v>
      </c>
      <c r="H71" s="42" t="n">
        <f aca="false">AL71+MIN(AB71-AL71,MAX(0,'Start Here'!$B$10-SUM($AJ71:$AS71)-SUMPRODUCT(($Z$3:$AI$3&lt;AB$3)*($Z71:$AI71-$AJ71:$AS71))))</f>
        <v>0</v>
      </c>
      <c r="I71" s="42" t="n">
        <f aca="false">AM71+MIN(AC71-AM71,MAX(0,'Start Here'!$B$10-SUM($AJ71:$AS71)-SUMPRODUCT(($Z$3:$AI$3&lt;AC$3)*($Z71:$AI71-$AJ71:$AS71))))</f>
        <v>0</v>
      </c>
      <c r="J71" s="42" t="n">
        <f aca="false">AN71+MIN(AD71-AN71,MAX(0,'Start Here'!$B$10-SUM($AJ71:$AS71)-SUMPRODUCT(($Z$3:$AI$3&lt;AD$3)*($Z71:$AI71-$AJ71:$AS71))))</f>
        <v>0</v>
      </c>
      <c r="K71" s="42" t="n">
        <f aca="false">AO71+MIN(AE71-AO71,MAX(0,'Start Here'!$B$10-SUM($AJ71:$AS71)-SUMPRODUCT(($Z$3:$AI$3&lt;AE$3)*($Z71:$AI71-$AJ71:$AS71))))</f>
        <v>0</v>
      </c>
      <c r="L71" s="42" t="n">
        <f aca="false">AP71+MIN(AF71-AP71,MAX(0,'Start Here'!$B$10-SUM($AJ71:$AS71)-SUMPRODUCT(($Z$3:$AI$3&lt;AF$3)*($Z71:$AI71-$AJ71:$AS71))))</f>
        <v>0</v>
      </c>
      <c r="M71" s="42" t="n">
        <f aca="false">AQ71+MIN(AG71-AQ71,MAX(0,'Start Here'!$B$10-SUM($AJ71:$AS71)-SUMPRODUCT(($Z$3:$AI$3&lt;AG$3)*($Z71:$AI71-$AJ71:$AS71))))</f>
        <v>0</v>
      </c>
      <c r="N71" s="42" t="n">
        <f aca="false">AR71+MIN(AH71-AR71,MAX(0,'Start Here'!$B$10-SUM($AJ71:$AS71)-SUMPRODUCT(($Z$3:$AI$3&lt;AH$3)*($Z71:$AI71-$AJ71:$AS71))))</f>
        <v>0</v>
      </c>
      <c r="O71" s="42" t="n">
        <f aca="false">AS71+MIN(AI71-AS71,MAX(0,'Start Here'!$B$10-SUM($AJ71:$AS71)-SUMPRODUCT(($Z$3:$AI$3&lt;AI$3)*($Z71:$AI71-$AJ71:$AS71))))</f>
        <v>0</v>
      </c>
      <c r="P71" s="42" t="n">
        <f aca="false">ROUND(Z71-F71,2)</f>
        <v>0</v>
      </c>
      <c r="Q71" s="42" t="n">
        <f aca="false">ROUND(AA71-G71,2)</f>
        <v>0</v>
      </c>
      <c r="R71" s="42" t="n">
        <f aca="false">ROUND(AB71-H71,2)</f>
        <v>0</v>
      </c>
      <c r="S71" s="42" t="n">
        <f aca="false">ROUND(AC71-I71,2)</f>
        <v>0</v>
      </c>
      <c r="T71" s="42" t="n">
        <f aca="false">ROUND(AD71-J71,2)</f>
        <v>0</v>
      </c>
      <c r="U71" s="42" t="n">
        <f aca="false">ROUND(AE71-K71,2)</f>
        <v>0</v>
      </c>
      <c r="V71" s="42" t="n">
        <f aca="false">ROUND(AF71-L71,2)</f>
        <v>0</v>
      </c>
      <c r="W71" s="42" t="n">
        <f aca="false">ROUND(AG71-M71,2)</f>
        <v>0</v>
      </c>
      <c r="X71" s="42" t="n">
        <f aca="false">ROUND(AH71-N71,2)</f>
        <v>0</v>
      </c>
      <c r="Y71" s="42" t="n">
        <f aca="false">ROUND(AI71-O71,2)</f>
        <v>0</v>
      </c>
      <c r="Z71" s="56" t="n">
        <f aca="false">ROUND(P70*(1+N(Debts!$D$5)/12),2)</f>
        <v>0</v>
      </c>
      <c r="AA71" s="56" t="n">
        <f aca="false">ROUND(Q70*(1+N(Debts!$D$6)/12),2)</f>
        <v>0</v>
      </c>
      <c r="AB71" s="56" t="n">
        <f aca="false">ROUND(R70*(1+N(Debts!$D$7)/12),2)</f>
        <v>0</v>
      </c>
      <c r="AC71" s="56" t="n">
        <f aca="false">ROUND(S70*(1+N(Debts!$D$8)/12),2)</f>
        <v>0</v>
      </c>
      <c r="AD71" s="56" t="n">
        <f aca="false">ROUND(T70*(1+N(Debts!$D$9)/12),2)</f>
        <v>0</v>
      </c>
      <c r="AE71" s="56" t="n">
        <f aca="false">ROUND(U70*(1+N(Debts!$D$10)/12),2)</f>
        <v>0</v>
      </c>
      <c r="AF71" s="56" t="n">
        <f aca="false">ROUND(V70*(1+N(Debts!$D$11)/12),2)</f>
        <v>0</v>
      </c>
      <c r="AG71" s="56" t="n">
        <f aca="false">ROUND(W70*(1+N(Debts!$D$12)/12),2)</f>
        <v>0</v>
      </c>
      <c r="AH71" s="56" t="n">
        <f aca="false">ROUND(X70*(1+N(Debts!$D$13)/12),2)</f>
        <v>0</v>
      </c>
      <c r="AI71" s="56" t="n">
        <f aca="false">ROUND(Y70*(1+N(Debts!$D$14)/12),2)</f>
        <v>0</v>
      </c>
      <c r="AJ71" s="56" t="n">
        <f aca="false">MIN(Z71,MAX(0,N(Debts!$E$5)))</f>
        <v>0</v>
      </c>
      <c r="AK71" s="56" t="n">
        <f aca="false">MIN(AA71,MAX(0,N(Debts!$E$6)))</f>
        <v>0</v>
      </c>
      <c r="AL71" s="56" t="n">
        <f aca="false">MIN(AB71,MAX(0,N(Debts!$E$7)))</f>
        <v>0</v>
      </c>
      <c r="AM71" s="56" t="n">
        <f aca="false">MIN(AC71,MAX(0,N(Debts!$E$8)))</f>
        <v>0</v>
      </c>
      <c r="AN71" s="56" t="n">
        <f aca="false">MIN(AD71,MAX(0,N(Debts!$E$9)))</f>
        <v>0</v>
      </c>
      <c r="AO71" s="56" t="n">
        <f aca="false">MIN(AE71,MAX(0,N(Debts!$E$10)))</f>
        <v>0</v>
      </c>
      <c r="AP71" s="56" t="n">
        <f aca="false">MIN(AF71,MAX(0,N(Debts!$E$11)))</f>
        <v>0</v>
      </c>
      <c r="AQ71" s="56" t="n">
        <f aca="false">MIN(AG71,MAX(0,N(Debts!$E$12)))</f>
        <v>0</v>
      </c>
      <c r="AR71" s="56" t="n">
        <f aca="false">MIN(AH71,MAX(0,N(Debts!$E$13)))</f>
        <v>0</v>
      </c>
      <c r="AS71" s="56" t="n">
        <f aca="false">MIN(AI71,MAX(0,N(Debts!$E$14)))</f>
        <v>0</v>
      </c>
    </row>
    <row r="72" customFormat="false" ht="15" hidden="false" customHeight="false" outlineLevel="0" collapsed="false">
      <c r="A72" s="53" t="n">
        <v>68</v>
      </c>
      <c r="B72" s="54" t="n">
        <f aca="false">EDATE('Start Here'!$B$8,67)</f>
        <v>48366</v>
      </c>
      <c r="C72" s="42" t="n">
        <f aca="false">SUM(F72:O72)</f>
        <v>0</v>
      </c>
      <c r="D72" s="42" t="n">
        <f aca="false">ROUND(SUM($Z72:$AI72)-SUM(P71:Y71),2)</f>
        <v>0</v>
      </c>
      <c r="E72" s="55" t="n">
        <f aca="false">SUM(P72:Y72)</f>
        <v>0</v>
      </c>
      <c r="F72" s="42" t="n">
        <f aca="false">AJ72+MIN(Z72-AJ72,MAX(0,'Start Here'!$B$10-SUM($AJ72:$AS72)-SUMPRODUCT(($Z$3:$AI$3&lt;Z$3)*($Z72:$AI72-$AJ72:$AS72))))</f>
        <v>0</v>
      </c>
      <c r="G72" s="42" t="n">
        <f aca="false">AK72+MIN(AA72-AK72,MAX(0,'Start Here'!$B$10-SUM($AJ72:$AS72)-SUMPRODUCT(($Z$3:$AI$3&lt;AA$3)*($Z72:$AI72-$AJ72:$AS72))))</f>
        <v>0</v>
      </c>
      <c r="H72" s="42" t="n">
        <f aca="false">AL72+MIN(AB72-AL72,MAX(0,'Start Here'!$B$10-SUM($AJ72:$AS72)-SUMPRODUCT(($Z$3:$AI$3&lt;AB$3)*($Z72:$AI72-$AJ72:$AS72))))</f>
        <v>0</v>
      </c>
      <c r="I72" s="42" t="n">
        <f aca="false">AM72+MIN(AC72-AM72,MAX(0,'Start Here'!$B$10-SUM($AJ72:$AS72)-SUMPRODUCT(($Z$3:$AI$3&lt;AC$3)*($Z72:$AI72-$AJ72:$AS72))))</f>
        <v>0</v>
      </c>
      <c r="J72" s="42" t="n">
        <f aca="false">AN72+MIN(AD72-AN72,MAX(0,'Start Here'!$B$10-SUM($AJ72:$AS72)-SUMPRODUCT(($Z$3:$AI$3&lt;AD$3)*($Z72:$AI72-$AJ72:$AS72))))</f>
        <v>0</v>
      </c>
      <c r="K72" s="42" t="n">
        <f aca="false">AO72+MIN(AE72-AO72,MAX(0,'Start Here'!$B$10-SUM($AJ72:$AS72)-SUMPRODUCT(($Z$3:$AI$3&lt;AE$3)*($Z72:$AI72-$AJ72:$AS72))))</f>
        <v>0</v>
      </c>
      <c r="L72" s="42" t="n">
        <f aca="false">AP72+MIN(AF72-AP72,MAX(0,'Start Here'!$B$10-SUM($AJ72:$AS72)-SUMPRODUCT(($Z$3:$AI$3&lt;AF$3)*($Z72:$AI72-$AJ72:$AS72))))</f>
        <v>0</v>
      </c>
      <c r="M72" s="42" t="n">
        <f aca="false">AQ72+MIN(AG72-AQ72,MAX(0,'Start Here'!$B$10-SUM($AJ72:$AS72)-SUMPRODUCT(($Z$3:$AI$3&lt;AG$3)*($Z72:$AI72-$AJ72:$AS72))))</f>
        <v>0</v>
      </c>
      <c r="N72" s="42" t="n">
        <f aca="false">AR72+MIN(AH72-AR72,MAX(0,'Start Here'!$B$10-SUM($AJ72:$AS72)-SUMPRODUCT(($Z$3:$AI$3&lt;AH$3)*($Z72:$AI72-$AJ72:$AS72))))</f>
        <v>0</v>
      </c>
      <c r="O72" s="42" t="n">
        <f aca="false">AS72+MIN(AI72-AS72,MAX(0,'Start Here'!$B$10-SUM($AJ72:$AS72)-SUMPRODUCT(($Z$3:$AI$3&lt;AI$3)*($Z72:$AI72-$AJ72:$AS72))))</f>
        <v>0</v>
      </c>
      <c r="P72" s="42" t="n">
        <f aca="false">ROUND(Z72-F72,2)</f>
        <v>0</v>
      </c>
      <c r="Q72" s="42" t="n">
        <f aca="false">ROUND(AA72-G72,2)</f>
        <v>0</v>
      </c>
      <c r="R72" s="42" t="n">
        <f aca="false">ROUND(AB72-H72,2)</f>
        <v>0</v>
      </c>
      <c r="S72" s="42" t="n">
        <f aca="false">ROUND(AC72-I72,2)</f>
        <v>0</v>
      </c>
      <c r="T72" s="42" t="n">
        <f aca="false">ROUND(AD72-J72,2)</f>
        <v>0</v>
      </c>
      <c r="U72" s="42" t="n">
        <f aca="false">ROUND(AE72-K72,2)</f>
        <v>0</v>
      </c>
      <c r="V72" s="42" t="n">
        <f aca="false">ROUND(AF72-L72,2)</f>
        <v>0</v>
      </c>
      <c r="W72" s="42" t="n">
        <f aca="false">ROUND(AG72-M72,2)</f>
        <v>0</v>
      </c>
      <c r="X72" s="42" t="n">
        <f aca="false">ROUND(AH72-N72,2)</f>
        <v>0</v>
      </c>
      <c r="Y72" s="42" t="n">
        <f aca="false">ROUND(AI72-O72,2)</f>
        <v>0</v>
      </c>
      <c r="Z72" s="56" t="n">
        <f aca="false">ROUND(P71*(1+N(Debts!$D$5)/12),2)</f>
        <v>0</v>
      </c>
      <c r="AA72" s="56" t="n">
        <f aca="false">ROUND(Q71*(1+N(Debts!$D$6)/12),2)</f>
        <v>0</v>
      </c>
      <c r="AB72" s="56" t="n">
        <f aca="false">ROUND(R71*(1+N(Debts!$D$7)/12),2)</f>
        <v>0</v>
      </c>
      <c r="AC72" s="56" t="n">
        <f aca="false">ROUND(S71*(1+N(Debts!$D$8)/12),2)</f>
        <v>0</v>
      </c>
      <c r="AD72" s="56" t="n">
        <f aca="false">ROUND(T71*(1+N(Debts!$D$9)/12),2)</f>
        <v>0</v>
      </c>
      <c r="AE72" s="56" t="n">
        <f aca="false">ROUND(U71*(1+N(Debts!$D$10)/12),2)</f>
        <v>0</v>
      </c>
      <c r="AF72" s="56" t="n">
        <f aca="false">ROUND(V71*(1+N(Debts!$D$11)/12),2)</f>
        <v>0</v>
      </c>
      <c r="AG72" s="56" t="n">
        <f aca="false">ROUND(W71*(1+N(Debts!$D$12)/12),2)</f>
        <v>0</v>
      </c>
      <c r="AH72" s="56" t="n">
        <f aca="false">ROUND(X71*(1+N(Debts!$D$13)/12),2)</f>
        <v>0</v>
      </c>
      <c r="AI72" s="56" t="n">
        <f aca="false">ROUND(Y71*(1+N(Debts!$D$14)/12),2)</f>
        <v>0</v>
      </c>
      <c r="AJ72" s="56" t="n">
        <f aca="false">MIN(Z72,MAX(0,N(Debts!$E$5)))</f>
        <v>0</v>
      </c>
      <c r="AK72" s="56" t="n">
        <f aca="false">MIN(AA72,MAX(0,N(Debts!$E$6)))</f>
        <v>0</v>
      </c>
      <c r="AL72" s="56" t="n">
        <f aca="false">MIN(AB72,MAX(0,N(Debts!$E$7)))</f>
        <v>0</v>
      </c>
      <c r="AM72" s="56" t="n">
        <f aca="false">MIN(AC72,MAX(0,N(Debts!$E$8)))</f>
        <v>0</v>
      </c>
      <c r="AN72" s="56" t="n">
        <f aca="false">MIN(AD72,MAX(0,N(Debts!$E$9)))</f>
        <v>0</v>
      </c>
      <c r="AO72" s="56" t="n">
        <f aca="false">MIN(AE72,MAX(0,N(Debts!$E$10)))</f>
        <v>0</v>
      </c>
      <c r="AP72" s="56" t="n">
        <f aca="false">MIN(AF72,MAX(0,N(Debts!$E$11)))</f>
        <v>0</v>
      </c>
      <c r="AQ72" s="56" t="n">
        <f aca="false">MIN(AG72,MAX(0,N(Debts!$E$12)))</f>
        <v>0</v>
      </c>
      <c r="AR72" s="56" t="n">
        <f aca="false">MIN(AH72,MAX(0,N(Debts!$E$13)))</f>
        <v>0</v>
      </c>
      <c r="AS72" s="56" t="n">
        <f aca="false">MIN(AI72,MAX(0,N(Debts!$E$14)))</f>
        <v>0</v>
      </c>
    </row>
    <row r="73" customFormat="false" ht="15" hidden="false" customHeight="false" outlineLevel="0" collapsed="false">
      <c r="A73" s="53" t="n">
        <v>69</v>
      </c>
      <c r="B73" s="54" t="n">
        <f aca="false">EDATE('Start Here'!$B$8,68)</f>
        <v>48396</v>
      </c>
      <c r="C73" s="42" t="n">
        <f aca="false">SUM(F73:O73)</f>
        <v>0</v>
      </c>
      <c r="D73" s="42" t="n">
        <f aca="false">ROUND(SUM($Z73:$AI73)-SUM(P72:Y72),2)</f>
        <v>0</v>
      </c>
      <c r="E73" s="55" t="n">
        <f aca="false">SUM(P73:Y73)</f>
        <v>0</v>
      </c>
      <c r="F73" s="42" t="n">
        <f aca="false">AJ73+MIN(Z73-AJ73,MAX(0,'Start Here'!$B$10-SUM($AJ73:$AS73)-SUMPRODUCT(($Z$3:$AI$3&lt;Z$3)*($Z73:$AI73-$AJ73:$AS73))))</f>
        <v>0</v>
      </c>
      <c r="G73" s="42" t="n">
        <f aca="false">AK73+MIN(AA73-AK73,MAX(0,'Start Here'!$B$10-SUM($AJ73:$AS73)-SUMPRODUCT(($Z$3:$AI$3&lt;AA$3)*($Z73:$AI73-$AJ73:$AS73))))</f>
        <v>0</v>
      </c>
      <c r="H73" s="42" t="n">
        <f aca="false">AL73+MIN(AB73-AL73,MAX(0,'Start Here'!$B$10-SUM($AJ73:$AS73)-SUMPRODUCT(($Z$3:$AI$3&lt;AB$3)*($Z73:$AI73-$AJ73:$AS73))))</f>
        <v>0</v>
      </c>
      <c r="I73" s="42" t="n">
        <f aca="false">AM73+MIN(AC73-AM73,MAX(0,'Start Here'!$B$10-SUM($AJ73:$AS73)-SUMPRODUCT(($Z$3:$AI$3&lt;AC$3)*($Z73:$AI73-$AJ73:$AS73))))</f>
        <v>0</v>
      </c>
      <c r="J73" s="42" t="n">
        <f aca="false">AN73+MIN(AD73-AN73,MAX(0,'Start Here'!$B$10-SUM($AJ73:$AS73)-SUMPRODUCT(($Z$3:$AI$3&lt;AD$3)*($Z73:$AI73-$AJ73:$AS73))))</f>
        <v>0</v>
      </c>
      <c r="K73" s="42" t="n">
        <f aca="false">AO73+MIN(AE73-AO73,MAX(0,'Start Here'!$B$10-SUM($AJ73:$AS73)-SUMPRODUCT(($Z$3:$AI$3&lt;AE$3)*($Z73:$AI73-$AJ73:$AS73))))</f>
        <v>0</v>
      </c>
      <c r="L73" s="42" t="n">
        <f aca="false">AP73+MIN(AF73-AP73,MAX(0,'Start Here'!$B$10-SUM($AJ73:$AS73)-SUMPRODUCT(($Z$3:$AI$3&lt;AF$3)*($Z73:$AI73-$AJ73:$AS73))))</f>
        <v>0</v>
      </c>
      <c r="M73" s="42" t="n">
        <f aca="false">AQ73+MIN(AG73-AQ73,MAX(0,'Start Here'!$B$10-SUM($AJ73:$AS73)-SUMPRODUCT(($Z$3:$AI$3&lt;AG$3)*($Z73:$AI73-$AJ73:$AS73))))</f>
        <v>0</v>
      </c>
      <c r="N73" s="42" t="n">
        <f aca="false">AR73+MIN(AH73-AR73,MAX(0,'Start Here'!$B$10-SUM($AJ73:$AS73)-SUMPRODUCT(($Z$3:$AI$3&lt;AH$3)*($Z73:$AI73-$AJ73:$AS73))))</f>
        <v>0</v>
      </c>
      <c r="O73" s="42" t="n">
        <f aca="false">AS73+MIN(AI73-AS73,MAX(0,'Start Here'!$B$10-SUM($AJ73:$AS73)-SUMPRODUCT(($Z$3:$AI$3&lt;AI$3)*($Z73:$AI73-$AJ73:$AS73))))</f>
        <v>0</v>
      </c>
      <c r="P73" s="42" t="n">
        <f aca="false">ROUND(Z73-F73,2)</f>
        <v>0</v>
      </c>
      <c r="Q73" s="42" t="n">
        <f aca="false">ROUND(AA73-G73,2)</f>
        <v>0</v>
      </c>
      <c r="R73" s="42" t="n">
        <f aca="false">ROUND(AB73-H73,2)</f>
        <v>0</v>
      </c>
      <c r="S73" s="42" t="n">
        <f aca="false">ROUND(AC73-I73,2)</f>
        <v>0</v>
      </c>
      <c r="T73" s="42" t="n">
        <f aca="false">ROUND(AD73-J73,2)</f>
        <v>0</v>
      </c>
      <c r="U73" s="42" t="n">
        <f aca="false">ROUND(AE73-K73,2)</f>
        <v>0</v>
      </c>
      <c r="V73" s="42" t="n">
        <f aca="false">ROUND(AF73-L73,2)</f>
        <v>0</v>
      </c>
      <c r="W73" s="42" t="n">
        <f aca="false">ROUND(AG73-M73,2)</f>
        <v>0</v>
      </c>
      <c r="X73" s="42" t="n">
        <f aca="false">ROUND(AH73-N73,2)</f>
        <v>0</v>
      </c>
      <c r="Y73" s="42" t="n">
        <f aca="false">ROUND(AI73-O73,2)</f>
        <v>0</v>
      </c>
      <c r="Z73" s="56" t="n">
        <f aca="false">ROUND(P72*(1+N(Debts!$D$5)/12),2)</f>
        <v>0</v>
      </c>
      <c r="AA73" s="56" t="n">
        <f aca="false">ROUND(Q72*(1+N(Debts!$D$6)/12),2)</f>
        <v>0</v>
      </c>
      <c r="AB73" s="56" t="n">
        <f aca="false">ROUND(R72*(1+N(Debts!$D$7)/12),2)</f>
        <v>0</v>
      </c>
      <c r="AC73" s="56" t="n">
        <f aca="false">ROUND(S72*(1+N(Debts!$D$8)/12),2)</f>
        <v>0</v>
      </c>
      <c r="AD73" s="56" t="n">
        <f aca="false">ROUND(T72*(1+N(Debts!$D$9)/12),2)</f>
        <v>0</v>
      </c>
      <c r="AE73" s="56" t="n">
        <f aca="false">ROUND(U72*(1+N(Debts!$D$10)/12),2)</f>
        <v>0</v>
      </c>
      <c r="AF73" s="56" t="n">
        <f aca="false">ROUND(V72*(1+N(Debts!$D$11)/12),2)</f>
        <v>0</v>
      </c>
      <c r="AG73" s="56" t="n">
        <f aca="false">ROUND(W72*(1+N(Debts!$D$12)/12),2)</f>
        <v>0</v>
      </c>
      <c r="AH73" s="56" t="n">
        <f aca="false">ROUND(X72*(1+N(Debts!$D$13)/12),2)</f>
        <v>0</v>
      </c>
      <c r="AI73" s="56" t="n">
        <f aca="false">ROUND(Y72*(1+N(Debts!$D$14)/12),2)</f>
        <v>0</v>
      </c>
      <c r="AJ73" s="56" t="n">
        <f aca="false">MIN(Z73,MAX(0,N(Debts!$E$5)))</f>
        <v>0</v>
      </c>
      <c r="AK73" s="56" t="n">
        <f aca="false">MIN(AA73,MAX(0,N(Debts!$E$6)))</f>
        <v>0</v>
      </c>
      <c r="AL73" s="56" t="n">
        <f aca="false">MIN(AB73,MAX(0,N(Debts!$E$7)))</f>
        <v>0</v>
      </c>
      <c r="AM73" s="56" t="n">
        <f aca="false">MIN(AC73,MAX(0,N(Debts!$E$8)))</f>
        <v>0</v>
      </c>
      <c r="AN73" s="56" t="n">
        <f aca="false">MIN(AD73,MAX(0,N(Debts!$E$9)))</f>
        <v>0</v>
      </c>
      <c r="AO73" s="56" t="n">
        <f aca="false">MIN(AE73,MAX(0,N(Debts!$E$10)))</f>
        <v>0</v>
      </c>
      <c r="AP73" s="56" t="n">
        <f aca="false">MIN(AF73,MAX(0,N(Debts!$E$11)))</f>
        <v>0</v>
      </c>
      <c r="AQ73" s="56" t="n">
        <f aca="false">MIN(AG73,MAX(0,N(Debts!$E$12)))</f>
        <v>0</v>
      </c>
      <c r="AR73" s="56" t="n">
        <f aca="false">MIN(AH73,MAX(0,N(Debts!$E$13)))</f>
        <v>0</v>
      </c>
      <c r="AS73" s="56" t="n">
        <f aca="false">MIN(AI73,MAX(0,N(Debts!$E$14)))</f>
        <v>0</v>
      </c>
    </row>
    <row r="74" customFormat="false" ht="15" hidden="false" customHeight="false" outlineLevel="0" collapsed="false">
      <c r="A74" s="53" t="n">
        <v>70</v>
      </c>
      <c r="B74" s="54" t="n">
        <f aca="false">EDATE('Start Here'!$B$8,69)</f>
        <v>48427</v>
      </c>
      <c r="C74" s="42" t="n">
        <f aca="false">SUM(F74:O74)</f>
        <v>0</v>
      </c>
      <c r="D74" s="42" t="n">
        <f aca="false">ROUND(SUM($Z74:$AI74)-SUM(P73:Y73),2)</f>
        <v>0</v>
      </c>
      <c r="E74" s="55" t="n">
        <f aca="false">SUM(P74:Y74)</f>
        <v>0</v>
      </c>
      <c r="F74" s="42" t="n">
        <f aca="false">AJ74+MIN(Z74-AJ74,MAX(0,'Start Here'!$B$10-SUM($AJ74:$AS74)-SUMPRODUCT(($Z$3:$AI$3&lt;Z$3)*($Z74:$AI74-$AJ74:$AS74))))</f>
        <v>0</v>
      </c>
      <c r="G74" s="42" t="n">
        <f aca="false">AK74+MIN(AA74-AK74,MAX(0,'Start Here'!$B$10-SUM($AJ74:$AS74)-SUMPRODUCT(($Z$3:$AI$3&lt;AA$3)*($Z74:$AI74-$AJ74:$AS74))))</f>
        <v>0</v>
      </c>
      <c r="H74" s="42" t="n">
        <f aca="false">AL74+MIN(AB74-AL74,MAX(0,'Start Here'!$B$10-SUM($AJ74:$AS74)-SUMPRODUCT(($Z$3:$AI$3&lt;AB$3)*($Z74:$AI74-$AJ74:$AS74))))</f>
        <v>0</v>
      </c>
      <c r="I74" s="42" t="n">
        <f aca="false">AM74+MIN(AC74-AM74,MAX(0,'Start Here'!$B$10-SUM($AJ74:$AS74)-SUMPRODUCT(($Z$3:$AI$3&lt;AC$3)*($Z74:$AI74-$AJ74:$AS74))))</f>
        <v>0</v>
      </c>
      <c r="J74" s="42" t="n">
        <f aca="false">AN74+MIN(AD74-AN74,MAX(0,'Start Here'!$B$10-SUM($AJ74:$AS74)-SUMPRODUCT(($Z$3:$AI$3&lt;AD$3)*($Z74:$AI74-$AJ74:$AS74))))</f>
        <v>0</v>
      </c>
      <c r="K74" s="42" t="n">
        <f aca="false">AO74+MIN(AE74-AO74,MAX(0,'Start Here'!$B$10-SUM($AJ74:$AS74)-SUMPRODUCT(($Z$3:$AI$3&lt;AE$3)*($Z74:$AI74-$AJ74:$AS74))))</f>
        <v>0</v>
      </c>
      <c r="L74" s="42" t="n">
        <f aca="false">AP74+MIN(AF74-AP74,MAX(0,'Start Here'!$B$10-SUM($AJ74:$AS74)-SUMPRODUCT(($Z$3:$AI$3&lt;AF$3)*($Z74:$AI74-$AJ74:$AS74))))</f>
        <v>0</v>
      </c>
      <c r="M74" s="42" t="n">
        <f aca="false">AQ74+MIN(AG74-AQ74,MAX(0,'Start Here'!$B$10-SUM($AJ74:$AS74)-SUMPRODUCT(($Z$3:$AI$3&lt;AG$3)*($Z74:$AI74-$AJ74:$AS74))))</f>
        <v>0</v>
      </c>
      <c r="N74" s="42" t="n">
        <f aca="false">AR74+MIN(AH74-AR74,MAX(0,'Start Here'!$B$10-SUM($AJ74:$AS74)-SUMPRODUCT(($Z$3:$AI$3&lt;AH$3)*($Z74:$AI74-$AJ74:$AS74))))</f>
        <v>0</v>
      </c>
      <c r="O74" s="42" t="n">
        <f aca="false">AS74+MIN(AI74-AS74,MAX(0,'Start Here'!$B$10-SUM($AJ74:$AS74)-SUMPRODUCT(($Z$3:$AI$3&lt;AI$3)*($Z74:$AI74-$AJ74:$AS74))))</f>
        <v>0</v>
      </c>
      <c r="P74" s="42" t="n">
        <f aca="false">ROUND(Z74-F74,2)</f>
        <v>0</v>
      </c>
      <c r="Q74" s="42" t="n">
        <f aca="false">ROUND(AA74-G74,2)</f>
        <v>0</v>
      </c>
      <c r="R74" s="42" t="n">
        <f aca="false">ROUND(AB74-H74,2)</f>
        <v>0</v>
      </c>
      <c r="S74" s="42" t="n">
        <f aca="false">ROUND(AC74-I74,2)</f>
        <v>0</v>
      </c>
      <c r="T74" s="42" t="n">
        <f aca="false">ROUND(AD74-J74,2)</f>
        <v>0</v>
      </c>
      <c r="U74" s="42" t="n">
        <f aca="false">ROUND(AE74-K74,2)</f>
        <v>0</v>
      </c>
      <c r="V74" s="42" t="n">
        <f aca="false">ROUND(AF74-L74,2)</f>
        <v>0</v>
      </c>
      <c r="W74" s="42" t="n">
        <f aca="false">ROUND(AG74-M74,2)</f>
        <v>0</v>
      </c>
      <c r="X74" s="42" t="n">
        <f aca="false">ROUND(AH74-N74,2)</f>
        <v>0</v>
      </c>
      <c r="Y74" s="42" t="n">
        <f aca="false">ROUND(AI74-O74,2)</f>
        <v>0</v>
      </c>
      <c r="Z74" s="56" t="n">
        <f aca="false">ROUND(P73*(1+N(Debts!$D$5)/12),2)</f>
        <v>0</v>
      </c>
      <c r="AA74" s="56" t="n">
        <f aca="false">ROUND(Q73*(1+N(Debts!$D$6)/12),2)</f>
        <v>0</v>
      </c>
      <c r="AB74" s="56" t="n">
        <f aca="false">ROUND(R73*(1+N(Debts!$D$7)/12),2)</f>
        <v>0</v>
      </c>
      <c r="AC74" s="56" t="n">
        <f aca="false">ROUND(S73*(1+N(Debts!$D$8)/12),2)</f>
        <v>0</v>
      </c>
      <c r="AD74" s="56" t="n">
        <f aca="false">ROUND(T73*(1+N(Debts!$D$9)/12),2)</f>
        <v>0</v>
      </c>
      <c r="AE74" s="56" t="n">
        <f aca="false">ROUND(U73*(1+N(Debts!$D$10)/12),2)</f>
        <v>0</v>
      </c>
      <c r="AF74" s="56" t="n">
        <f aca="false">ROUND(V73*(1+N(Debts!$D$11)/12),2)</f>
        <v>0</v>
      </c>
      <c r="AG74" s="56" t="n">
        <f aca="false">ROUND(W73*(1+N(Debts!$D$12)/12),2)</f>
        <v>0</v>
      </c>
      <c r="AH74" s="56" t="n">
        <f aca="false">ROUND(X73*(1+N(Debts!$D$13)/12),2)</f>
        <v>0</v>
      </c>
      <c r="AI74" s="56" t="n">
        <f aca="false">ROUND(Y73*(1+N(Debts!$D$14)/12),2)</f>
        <v>0</v>
      </c>
      <c r="AJ74" s="56" t="n">
        <f aca="false">MIN(Z74,MAX(0,N(Debts!$E$5)))</f>
        <v>0</v>
      </c>
      <c r="AK74" s="56" t="n">
        <f aca="false">MIN(AA74,MAX(0,N(Debts!$E$6)))</f>
        <v>0</v>
      </c>
      <c r="AL74" s="56" t="n">
        <f aca="false">MIN(AB74,MAX(0,N(Debts!$E$7)))</f>
        <v>0</v>
      </c>
      <c r="AM74" s="56" t="n">
        <f aca="false">MIN(AC74,MAX(0,N(Debts!$E$8)))</f>
        <v>0</v>
      </c>
      <c r="AN74" s="56" t="n">
        <f aca="false">MIN(AD74,MAX(0,N(Debts!$E$9)))</f>
        <v>0</v>
      </c>
      <c r="AO74" s="56" t="n">
        <f aca="false">MIN(AE74,MAX(0,N(Debts!$E$10)))</f>
        <v>0</v>
      </c>
      <c r="AP74" s="56" t="n">
        <f aca="false">MIN(AF74,MAX(0,N(Debts!$E$11)))</f>
        <v>0</v>
      </c>
      <c r="AQ74" s="56" t="n">
        <f aca="false">MIN(AG74,MAX(0,N(Debts!$E$12)))</f>
        <v>0</v>
      </c>
      <c r="AR74" s="56" t="n">
        <f aca="false">MIN(AH74,MAX(0,N(Debts!$E$13)))</f>
        <v>0</v>
      </c>
      <c r="AS74" s="56" t="n">
        <f aca="false">MIN(AI74,MAX(0,N(Debts!$E$14)))</f>
        <v>0</v>
      </c>
    </row>
    <row r="75" customFormat="false" ht="15" hidden="false" customHeight="false" outlineLevel="0" collapsed="false">
      <c r="A75" s="53" t="n">
        <v>71</v>
      </c>
      <c r="B75" s="54" t="n">
        <f aca="false">EDATE('Start Here'!$B$8,70)</f>
        <v>48458</v>
      </c>
      <c r="C75" s="42" t="n">
        <f aca="false">SUM(F75:O75)</f>
        <v>0</v>
      </c>
      <c r="D75" s="42" t="n">
        <f aca="false">ROUND(SUM($Z75:$AI75)-SUM(P74:Y74),2)</f>
        <v>0</v>
      </c>
      <c r="E75" s="55" t="n">
        <f aca="false">SUM(P75:Y75)</f>
        <v>0</v>
      </c>
      <c r="F75" s="42" t="n">
        <f aca="false">AJ75+MIN(Z75-AJ75,MAX(0,'Start Here'!$B$10-SUM($AJ75:$AS75)-SUMPRODUCT(($Z$3:$AI$3&lt;Z$3)*($Z75:$AI75-$AJ75:$AS75))))</f>
        <v>0</v>
      </c>
      <c r="G75" s="42" t="n">
        <f aca="false">AK75+MIN(AA75-AK75,MAX(0,'Start Here'!$B$10-SUM($AJ75:$AS75)-SUMPRODUCT(($Z$3:$AI$3&lt;AA$3)*($Z75:$AI75-$AJ75:$AS75))))</f>
        <v>0</v>
      </c>
      <c r="H75" s="42" t="n">
        <f aca="false">AL75+MIN(AB75-AL75,MAX(0,'Start Here'!$B$10-SUM($AJ75:$AS75)-SUMPRODUCT(($Z$3:$AI$3&lt;AB$3)*($Z75:$AI75-$AJ75:$AS75))))</f>
        <v>0</v>
      </c>
      <c r="I75" s="42" t="n">
        <f aca="false">AM75+MIN(AC75-AM75,MAX(0,'Start Here'!$B$10-SUM($AJ75:$AS75)-SUMPRODUCT(($Z$3:$AI$3&lt;AC$3)*($Z75:$AI75-$AJ75:$AS75))))</f>
        <v>0</v>
      </c>
      <c r="J75" s="42" t="n">
        <f aca="false">AN75+MIN(AD75-AN75,MAX(0,'Start Here'!$B$10-SUM($AJ75:$AS75)-SUMPRODUCT(($Z$3:$AI$3&lt;AD$3)*($Z75:$AI75-$AJ75:$AS75))))</f>
        <v>0</v>
      </c>
      <c r="K75" s="42" t="n">
        <f aca="false">AO75+MIN(AE75-AO75,MAX(0,'Start Here'!$B$10-SUM($AJ75:$AS75)-SUMPRODUCT(($Z$3:$AI$3&lt;AE$3)*($Z75:$AI75-$AJ75:$AS75))))</f>
        <v>0</v>
      </c>
      <c r="L75" s="42" t="n">
        <f aca="false">AP75+MIN(AF75-AP75,MAX(0,'Start Here'!$B$10-SUM($AJ75:$AS75)-SUMPRODUCT(($Z$3:$AI$3&lt;AF$3)*($Z75:$AI75-$AJ75:$AS75))))</f>
        <v>0</v>
      </c>
      <c r="M75" s="42" t="n">
        <f aca="false">AQ75+MIN(AG75-AQ75,MAX(0,'Start Here'!$B$10-SUM($AJ75:$AS75)-SUMPRODUCT(($Z$3:$AI$3&lt;AG$3)*($Z75:$AI75-$AJ75:$AS75))))</f>
        <v>0</v>
      </c>
      <c r="N75" s="42" t="n">
        <f aca="false">AR75+MIN(AH75-AR75,MAX(0,'Start Here'!$B$10-SUM($AJ75:$AS75)-SUMPRODUCT(($Z$3:$AI$3&lt;AH$3)*($Z75:$AI75-$AJ75:$AS75))))</f>
        <v>0</v>
      </c>
      <c r="O75" s="42" t="n">
        <f aca="false">AS75+MIN(AI75-AS75,MAX(0,'Start Here'!$B$10-SUM($AJ75:$AS75)-SUMPRODUCT(($Z$3:$AI$3&lt;AI$3)*($Z75:$AI75-$AJ75:$AS75))))</f>
        <v>0</v>
      </c>
      <c r="P75" s="42" t="n">
        <f aca="false">ROUND(Z75-F75,2)</f>
        <v>0</v>
      </c>
      <c r="Q75" s="42" t="n">
        <f aca="false">ROUND(AA75-G75,2)</f>
        <v>0</v>
      </c>
      <c r="R75" s="42" t="n">
        <f aca="false">ROUND(AB75-H75,2)</f>
        <v>0</v>
      </c>
      <c r="S75" s="42" t="n">
        <f aca="false">ROUND(AC75-I75,2)</f>
        <v>0</v>
      </c>
      <c r="T75" s="42" t="n">
        <f aca="false">ROUND(AD75-J75,2)</f>
        <v>0</v>
      </c>
      <c r="U75" s="42" t="n">
        <f aca="false">ROUND(AE75-K75,2)</f>
        <v>0</v>
      </c>
      <c r="V75" s="42" t="n">
        <f aca="false">ROUND(AF75-L75,2)</f>
        <v>0</v>
      </c>
      <c r="W75" s="42" t="n">
        <f aca="false">ROUND(AG75-M75,2)</f>
        <v>0</v>
      </c>
      <c r="X75" s="42" t="n">
        <f aca="false">ROUND(AH75-N75,2)</f>
        <v>0</v>
      </c>
      <c r="Y75" s="42" t="n">
        <f aca="false">ROUND(AI75-O75,2)</f>
        <v>0</v>
      </c>
      <c r="Z75" s="56" t="n">
        <f aca="false">ROUND(P74*(1+N(Debts!$D$5)/12),2)</f>
        <v>0</v>
      </c>
      <c r="AA75" s="56" t="n">
        <f aca="false">ROUND(Q74*(1+N(Debts!$D$6)/12),2)</f>
        <v>0</v>
      </c>
      <c r="AB75" s="56" t="n">
        <f aca="false">ROUND(R74*(1+N(Debts!$D$7)/12),2)</f>
        <v>0</v>
      </c>
      <c r="AC75" s="56" t="n">
        <f aca="false">ROUND(S74*(1+N(Debts!$D$8)/12),2)</f>
        <v>0</v>
      </c>
      <c r="AD75" s="56" t="n">
        <f aca="false">ROUND(T74*(1+N(Debts!$D$9)/12),2)</f>
        <v>0</v>
      </c>
      <c r="AE75" s="56" t="n">
        <f aca="false">ROUND(U74*(1+N(Debts!$D$10)/12),2)</f>
        <v>0</v>
      </c>
      <c r="AF75" s="56" t="n">
        <f aca="false">ROUND(V74*(1+N(Debts!$D$11)/12),2)</f>
        <v>0</v>
      </c>
      <c r="AG75" s="56" t="n">
        <f aca="false">ROUND(W74*(1+N(Debts!$D$12)/12),2)</f>
        <v>0</v>
      </c>
      <c r="AH75" s="56" t="n">
        <f aca="false">ROUND(X74*(1+N(Debts!$D$13)/12),2)</f>
        <v>0</v>
      </c>
      <c r="AI75" s="56" t="n">
        <f aca="false">ROUND(Y74*(1+N(Debts!$D$14)/12),2)</f>
        <v>0</v>
      </c>
      <c r="AJ75" s="56" t="n">
        <f aca="false">MIN(Z75,MAX(0,N(Debts!$E$5)))</f>
        <v>0</v>
      </c>
      <c r="AK75" s="56" t="n">
        <f aca="false">MIN(AA75,MAX(0,N(Debts!$E$6)))</f>
        <v>0</v>
      </c>
      <c r="AL75" s="56" t="n">
        <f aca="false">MIN(AB75,MAX(0,N(Debts!$E$7)))</f>
        <v>0</v>
      </c>
      <c r="AM75" s="56" t="n">
        <f aca="false">MIN(AC75,MAX(0,N(Debts!$E$8)))</f>
        <v>0</v>
      </c>
      <c r="AN75" s="56" t="n">
        <f aca="false">MIN(AD75,MAX(0,N(Debts!$E$9)))</f>
        <v>0</v>
      </c>
      <c r="AO75" s="56" t="n">
        <f aca="false">MIN(AE75,MAX(0,N(Debts!$E$10)))</f>
        <v>0</v>
      </c>
      <c r="AP75" s="56" t="n">
        <f aca="false">MIN(AF75,MAX(0,N(Debts!$E$11)))</f>
        <v>0</v>
      </c>
      <c r="AQ75" s="56" t="n">
        <f aca="false">MIN(AG75,MAX(0,N(Debts!$E$12)))</f>
        <v>0</v>
      </c>
      <c r="AR75" s="56" t="n">
        <f aca="false">MIN(AH75,MAX(0,N(Debts!$E$13)))</f>
        <v>0</v>
      </c>
      <c r="AS75" s="56" t="n">
        <f aca="false">MIN(AI75,MAX(0,N(Debts!$E$14)))</f>
        <v>0</v>
      </c>
    </row>
    <row r="76" customFormat="false" ht="15" hidden="false" customHeight="false" outlineLevel="0" collapsed="false">
      <c r="A76" s="53" t="n">
        <v>72</v>
      </c>
      <c r="B76" s="54" t="n">
        <f aca="false">EDATE('Start Here'!$B$8,71)</f>
        <v>48488</v>
      </c>
      <c r="C76" s="42" t="n">
        <f aca="false">SUM(F76:O76)</f>
        <v>0</v>
      </c>
      <c r="D76" s="42" t="n">
        <f aca="false">ROUND(SUM($Z76:$AI76)-SUM(P75:Y75),2)</f>
        <v>0</v>
      </c>
      <c r="E76" s="55" t="n">
        <f aca="false">SUM(P76:Y76)</f>
        <v>0</v>
      </c>
      <c r="F76" s="42" t="n">
        <f aca="false">AJ76+MIN(Z76-AJ76,MAX(0,'Start Here'!$B$10-SUM($AJ76:$AS76)-SUMPRODUCT(($Z$3:$AI$3&lt;Z$3)*($Z76:$AI76-$AJ76:$AS76))))</f>
        <v>0</v>
      </c>
      <c r="G76" s="42" t="n">
        <f aca="false">AK76+MIN(AA76-AK76,MAX(0,'Start Here'!$B$10-SUM($AJ76:$AS76)-SUMPRODUCT(($Z$3:$AI$3&lt;AA$3)*($Z76:$AI76-$AJ76:$AS76))))</f>
        <v>0</v>
      </c>
      <c r="H76" s="42" t="n">
        <f aca="false">AL76+MIN(AB76-AL76,MAX(0,'Start Here'!$B$10-SUM($AJ76:$AS76)-SUMPRODUCT(($Z$3:$AI$3&lt;AB$3)*($Z76:$AI76-$AJ76:$AS76))))</f>
        <v>0</v>
      </c>
      <c r="I76" s="42" t="n">
        <f aca="false">AM76+MIN(AC76-AM76,MAX(0,'Start Here'!$B$10-SUM($AJ76:$AS76)-SUMPRODUCT(($Z$3:$AI$3&lt;AC$3)*($Z76:$AI76-$AJ76:$AS76))))</f>
        <v>0</v>
      </c>
      <c r="J76" s="42" t="n">
        <f aca="false">AN76+MIN(AD76-AN76,MAX(0,'Start Here'!$B$10-SUM($AJ76:$AS76)-SUMPRODUCT(($Z$3:$AI$3&lt;AD$3)*($Z76:$AI76-$AJ76:$AS76))))</f>
        <v>0</v>
      </c>
      <c r="K76" s="42" t="n">
        <f aca="false">AO76+MIN(AE76-AO76,MAX(0,'Start Here'!$B$10-SUM($AJ76:$AS76)-SUMPRODUCT(($Z$3:$AI$3&lt;AE$3)*($Z76:$AI76-$AJ76:$AS76))))</f>
        <v>0</v>
      </c>
      <c r="L76" s="42" t="n">
        <f aca="false">AP76+MIN(AF76-AP76,MAX(0,'Start Here'!$B$10-SUM($AJ76:$AS76)-SUMPRODUCT(($Z$3:$AI$3&lt;AF$3)*($Z76:$AI76-$AJ76:$AS76))))</f>
        <v>0</v>
      </c>
      <c r="M76" s="42" t="n">
        <f aca="false">AQ76+MIN(AG76-AQ76,MAX(0,'Start Here'!$B$10-SUM($AJ76:$AS76)-SUMPRODUCT(($Z$3:$AI$3&lt;AG$3)*($Z76:$AI76-$AJ76:$AS76))))</f>
        <v>0</v>
      </c>
      <c r="N76" s="42" t="n">
        <f aca="false">AR76+MIN(AH76-AR76,MAX(0,'Start Here'!$B$10-SUM($AJ76:$AS76)-SUMPRODUCT(($Z$3:$AI$3&lt;AH$3)*($Z76:$AI76-$AJ76:$AS76))))</f>
        <v>0</v>
      </c>
      <c r="O76" s="42" t="n">
        <f aca="false">AS76+MIN(AI76-AS76,MAX(0,'Start Here'!$B$10-SUM($AJ76:$AS76)-SUMPRODUCT(($Z$3:$AI$3&lt;AI$3)*($Z76:$AI76-$AJ76:$AS76))))</f>
        <v>0</v>
      </c>
      <c r="P76" s="42" t="n">
        <f aca="false">ROUND(Z76-F76,2)</f>
        <v>0</v>
      </c>
      <c r="Q76" s="42" t="n">
        <f aca="false">ROUND(AA76-G76,2)</f>
        <v>0</v>
      </c>
      <c r="R76" s="42" t="n">
        <f aca="false">ROUND(AB76-H76,2)</f>
        <v>0</v>
      </c>
      <c r="S76" s="42" t="n">
        <f aca="false">ROUND(AC76-I76,2)</f>
        <v>0</v>
      </c>
      <c r="T76" s="42" t="n">
        <f aca="false">ROUND(AD76-J76,2)</f>
        <v>0</v>
      </c>
      <c r="U76" s="42" t="n">
        <f aca="false">ROUND(AE76-K76,2)</f>
        <v>0</v>
      </c>
      <c r="V76" s="42" t="n">
        <f aca="false">ROUND(AF76-L76,2)</f>
        <v>0</v>
      </c>
      <c r="W76" s="42" t="n">
        <f aca="false">ROUND(AG76-M76,2)</f>
        <v>0</v>
      </c>
      <c r="X76" s="42" t="n">
        <f aca="false">ROUND(AH76-N76,2)</f>
        <v>0</v>
      </c>
      <c r="Y76" s="42" t="n">
        <f aca="false">ROUND(AI76-O76,2)</f>
        <v>0</v>
      </c>
      <c r="Z76" s="56" t="n">
        <f aca="false">ROUND(P75*(1+N(Debts!$D$5)/12),2)</f>
        <v>0</v>
      </c>
      <c r="AA76" s="56" t="n">
        <f aca="false">ROUND(Q75*(1+N(Debts!$D$6)/12),2)</f>
        <v>0</v>
      </c>
      <c r="AB76" s="56" t="n">
        <f aca="false">ROUND(R75*(1+N(Debts!$D$7)/12),2)</f>
        <v>0</v>
      </c>
      <c r="AC76" s="56" t="n">
        <f aca="false">ROUND(S75*(1+N(Debts!$D$8)/12),2)</f>
        <v>0</v>
      </c>
      <c r="AD76" s="56" t="n">
        <f aca="false">ROUND(T75*(1+N(Debts!$D$9)/12),2)</f>
        <v>0</v>
      </c>
      <c r="AE76" s="56" t="n">
        <f aca="false">ROUND(U75*(1+N(Debts!$D$10)/12),2)</f>
        <v>0</v>
      </c>
      <c r="AF76" s="56" t="n">
        <f aca="false">ROUND(V75*(1+N(Debts!$D$11)/12),2)</f>
        <v>0</v>
      </c>
      <c r="AG76" s="56" t="n">
        <f aca="false">ROUND(W75*(1+N(Debts!$D$12)/12),2)</f>
        <v>0</v>
      </c>
      <c r="AH76" s="56" t="n">
        <f aca="false">ROUND(X75*(1+N(Debts!$D$13)/12),2)</f>
        <v>0</v>
      </c>
      <c r="AI76" s="56" t="n">
        <f aca="false">ROUND(Y75*(1+N(Debts!$D$14)/12),2)</f>
        <v>0</v>
      </c>
      <c r="AJ76" s="56" t="n">
        <f aca="false">MIN(Z76,MAX(0,N(Debts!$E$5)))</f>
        <v>0</v>
      </c>
      <c r="AK76" s="56" t="n">
        <f aca="false">MIN(AA76,MAX(0,N(Debts!$E$6)))</f>
        <v>0</v>
      </c>
      <c r="AL76" s="56" t="n">
        <f aca="false">MIN(AB76,MAX(0,N(Debts!$E$7)))</f>
        <v>0</v>
      </c>
      <c r="AM76" s="56" t="n">
        <f aca="false">MIN(AC76,MAX(0,N(Debts!$E$8)))</f>
        <v>0</v>
      </c>
      <c r="AN76" s="56" t="n">
        <f aca="false">MIN(AD76,MAX(0,N(Debts!$E$9)))</f>
        <v>0</v>
      </c>
      <c r="AO76" s="56" t="n">
        <f aca="false">MIN(AE76,MAX(0,N(Debts!$E$10)))</f>
        <v>0</v>
      </c>
      <c r="AP76" s="56" t="n">
        <f aca="false">MIN(AF76,MAX(0,N(Debts!$E$11)))</f>
        <v>0</v>
      </c>
      <c r="AQ76" s="56" t="n">
        <f aca="false">MIN(AG76,MAX(0,N(Debts!$E$12)))</f>
        <v>0</v>
      </c>
      <c r="AR76" s="56" t="n">
        <f aca="false">MIN(AH76,MAX(0,N(Debts!$E$13)))</f>
        <v>0</v>
      </c>
      <c r="AS76" s="56" t="n">
        <f aca="false">MIN(AI76,MAX(0,N(Debts!$E$14)))</f>
        <v>0</v>
      </c>
    </row>
    <row r="77" customFormat="false" ht="15" hidden="false" customHeight="false" outlineLevel="0" collapsed="false">
      <c r="A77" s="53" t="n">
        <v>73</v>
      </c>
      <c r="B77" s="54" t="n">
        <f aca="false">EDATE('Start Here'!$B$8,72)</f>
        <v>48519</v>
      </c>
      <c r="C77" s="42" t="n">
        <f aca="false">SUM(F77:O77)</f>
        <v>0</v>
      </c>
      <c r="D77" s="42" t="n">
        <f aca="false">ROUND(SUM($Z77:$AI77)-SUM(P76:Y76),2)</f>
        <v>0</v>
      </c>
      <c r="E77" s="55" t="n">
        <f aca="false">SUM(P77:Y77)</f>
        <v>0</v>
      </c>
      <c r="F77" s="42" t="n">
        <f aca="false">AJ77+MIN(Z77-AJ77,MAX(0,'Start Here'!$B$10-SUM($AJ77:$AS77)-SUMPRODUCT(($Z$3:$AI$3&lt;Z$3)*($Z77:$AI77-$AJ77:$AS77))))</f>
        <v>0</v>
      </c>
      <c r="G77" s="42" t="n">
        <f aca="false">AK77+MIN(AA77-AK77,MAX(0,'Start Here'!$B$10-SUM($AJ77:$AS77)-SUMPRODUCT(($Z$3:$AI$3&lt;AA$3)*($Z77:$AI77-$AJ77:$AS77))))</f>
        <v>0</v>
      </c>
      <c r="H77" s="42" t="n">
        <f aca="false">AL77+MIN(AB77-AL77,MAX(0,'Start Here'!$B$10-SUM($AJ77:$AS77)-SUMPRODUCT(($Z$3:$AI$3&lt;AB$3)*($Z77:$AI77-$AJ77:$AS77))))</f>
        <v>0</v>
      </c>
      <c r="I77" s="42" t="n">
        <f aca="false">AM77+MIN(AC77-AM77,MAX(0,'Start Here'!$B$10-SUM($AJ77:$AS77)-SUMPRODUCT(($Z$3:$AI$3&lt;AC$3)*($Z77:$AI77-$AJ77:$AS77))))</f>
        <v>0</v>
      </c>
      <c r="J77" s="42" t="n">
        <f aca="false">AN77+MIN(AD77-AN77,MAX(0,'Start Here'!$B$10-SUM($AJ77:$AS77)-SUMPRODUCT(($Z$3:$AI$3&lt;AD$3)*($Z77:$AI77-$AJ77:$AS77))))</f>
        <v>0</v>
      </c>
      <c r="K77" s="42" t="n">
        <f aca="false">AO77+MIN(AE77-AO77,MAX(0,'Start Here'!$B$10-SUM($AJ77:$AS77)-SUMPRODUCT(($Z$3:$AI$3&lt;AE$3)*($Z77:$AI77-$AJ77:$AS77))))</f>
        <v>0</v>
      </c>
      <c r="L77" s="42" t="n">
        <f aca="false">AP77+MIN(AF77-AP77,MAX(0,'Start Here'!$B$10-SUM($AJ77:$AS77)-SUMPRODUCT(($Z$3:$AI$3&lt;AF$3)*($Z77:$AI77-$AJ77:$AS77))))</f>
        <v>0</v>
      </c>
      <c r="M77" s="42" t="n">
        <f aca="false">AQ77+MIN(AG77-AQ77,MAX(0,'Start Here'!$B$10-SUM($AJ77:$AS77)-SUMPRODUCT(($Z$3:$AI$3&lt;AG$3)*($Z77:$AI77-$AJ77:$AS77))))</f>
        <v>0</v>
      </c>
      <c r="N77" s="42" t="n">
        <f aca="false">AR77+MIN(AH77-AR77,MAX(0,'Start Here'!$B$10-SUM($AJ77:$AS77)-SUMPRODUCT(($Z$3:$AI$3&lt;AH$3)*($Z77:$AI77-$AJ77:$AS77))))</f>
        <v>0</v>
      </c>
      <c r="O77" s="42" t="n">
        <f aca="false">AS77+MIN(AI77-AS77,MAX(0,'Start Here'!$B$10-SUM($AJ77:$AS77)-SUMPRODUCT(($Z$3:$AI$3&lt;AI$3)*($Z77:$AI77-$AJ77:$AS77))))</f>
        <v>0</v>
      </c>
      <c r="P77" s="42" t="n">
        <f aca="false">ROUND(Z77-F77,2)</f>
        <v>0</v>
      </c>
      <c r="Q77" s="42" t="n">
        <f aca="false">ROUND(AA77-G77,2)</f>
        <v>0</v>
      </c>
      <c r="R77" s="42" t="n">
        <f aca="false">ROUND(AB77-H77,2)</f>
        <v>0</v>
      </c>
      <c r="S77" s="42" t="n">
        <f aca="false">ROUND(AC77-I77,2)</f>
        <v>0</v>
      </c>
      <c r="T77" s="42" t="n">
        <f aca="false">ROUND(AD77-J77,2)</f>
        <v>0</v>
      </c>
      <c r="U77" s="42" t="n">
        <f aca="false">ROUND(AE77-K77,2)</f>
        <v>0</v>
      </c>
      <c r="V77" s="42" t="n">
        <f aca="false">ROUND(AF77-L77,2)</f>
        <v>0</v>
      </c>
      <c r="W77" s="42" t="n">
        <f aca="false">ROUND(AG77-M77,2)</f>
        <v>0</v>
      </c>
      <c r="X77" s="42" t="n">
        <f aca="false">ROUND(AH77-N77,2)</f>
        <v>0</v>
      </c>
      <c r="Y77" s="42" t="n">
        <f aca="false">ROUND(AI77-O77,2)</f>
        <v>0</v>
      </c>
      <c r="Z77" s="56" t="n">
        <f aca="false">ROUND(P76*(1+N(Debts!$D$5)/12),2)</f>
        <v>0</v>
      </c>
      <c r="AA77" s="56" t="n">
        <f aca="false">ROUND(Q76*(1+N(Debts!$D$6)/12),2)</f>
        <v>0</v>
      </c>
      <c r="AB77" s="56" t="n">
        <f aca="false">ROUND(R76*(1+N(Debts!$D$7)/12),2)</f>
        <v>0</v>
      </c>
      <c r="AC77" s="56" t="n">
        <f aca="false">ROUND(S76*(1+N(Debts!$D$8)/12),2)</f>
        <v>0</v>
      </c>
      <c r="AD77" s="56" t="n">
        <f aca="false">ROUND(T76*(1+N(Debts!$D$9)/12),2)</f>
        <v>0</v>
      </c>
      <c r="AE77" s="56" t="n">
        <f aca="false">ROUND(U76*(1+N(Debts!$D$10)/12),2)</f>
        <v>0</v>
      </c>
      <c r="AF77" s="56" t="n">
        <f aca="false">ROUND(V76*(1+N(Debts!$D$11)/12),2)</f>
        <v>0</v>
      </c>
      <c r="AG77" s="56" t="n">
        <f aca="false">ROUND(W76*(1+N(Debts!$D$12)/12),2)</f>
        <v>0</v>
      </c>
      <c r="AH77" s="56" t="n">
        <f aca="false">ROUND(X76*(1+N(Debts!$D$13)/12),2)</f>
        <v>0</v>
      </c>
      <c r="AI77" s="56" t="n">
        <f aca="false">ROUND(Y76*(1+N(Debts!$D$14)/12),2)</f>
        <v>0</v>
      </c>
      <c r="AJ77" s="56" t="n">
        <f aca="false">MIN(Z77,MAX(0,N(Debts!$E$5)))</f>
        <v>0</v>
      </c>
      <c r="AK77" s="56" t="n">
        <f aca="false">MIN(AA77,MAX(0,N(Debts!$E$6)))</f>
        <v>0</v>
      </c>
      <c r="AL77" s="56" t="n">
        <f aca="false">MIN(AB77,MAX(0,N(Debts!$E$7)))</f>
        <v>0</v>
      </c>
      <c r="AM77" s="56" t="n">
        <f aca="false">MIN(AC77,MAX(0,N(Debts!$E$8)))</f>
        <v>0</v>
      </c>
      <c r="AN77" s="56" t="n">
        <f aca="false">MIN(AD77,MAX(0,N(Debts!$E$9)))</f>
        <v>0</v>
      </c>
      <c r="AO77" s="56" t="n">
        <f aca="false">MIN(AE77,MAX(0,N(Debts!$E$10)))</f>
        <v>0</v>
      </c>
      <c r="AP77" s="56" t="n">
        <f aca="false">MIN(AF77,MAX(0,N(Debts!$E$11)))</f>
        <v>0</v>
      </c>
      <c r="AQ77" s="56" t="n">
        <f aca="false">MIN(AG77,MAX(0,N(Debts!$E$12)))</f>
        <v>0</v>
      </c>
      <c r="AR77" s="56" t="n">
        <f aca="false">MIN(AH77,MAX(0,N(Debts!$E$13)))</f>
        <v>0</v>
      </c>
      <c r="AS77" s="56" t="n">
        <f aca="false">MIN(AI77,MAX(0,N(Debts!$E$14)))</f>
        <v>0</v>
      </c>
    </row>
    <row r="78" customFormat="false" ht="15" hidden="false" customHeight="false" outlineLevel="0" collapsed="false">
      <c r="A78" s="53" t="n">
        <v>74</v>
      </c>
      <c r="B78" s="54" t="n">
        <f aca="false">EDATE('Start Here'!$B$8,73)</f>
        <v>48549</v>
      </c>
      <c r="C78" s="42" t="n">
        <f aca="false">SUM(F78:O78)</f>
        <v>0</v>
      </c>
      <c r="D78" s="42" t="n">
        <f aca="false">ROUND(SUM($Z78:$AI78)-SUM(P77:Y77),2)</f>
        <v>0</v>
      </c>
      <c r="E78" s="55" t="n">
        <f aca="false">SUM(P78:Y78)</f>
        <v>0</v>
      </c>
      <c r="F78" s="42" t="n">
        <f aca="false">AJ78+MIN(Z78-AJ78,MAX(0,'Start Here'!$B$10-SUM($AJ78:$AS78)-SUMPRODUCT(($Z$3:$AI$3&lt;Z$3)*($Z78:$AI78-$AJ78:$AS78))))</f>
        <v>0</v>
      </c>
      <c r="G78" s="42" t="n">
        <f aca="false">AK78+MIN(AA78-AK78,MAX(0,'Start Here'!$B$10-SUM($AJ78:$AS78)-SUMPRODUCT(($Z$3:$AI$3&lt;AA$3)*($Z78:$AI78-$AJ78:$AS78))))</f>
        <v>0</v>
      </c>
      <c r="H78" s="42" t="n">
        <f aca="false">AL78+MIN(AB78-AL78,MAX(0,'Start Here'!$B$10-SUM($AJ78:$AS78)-SUMPRODUCT(($Z$3:$AI$3&lt;AB$3)*($Z78:$AI78-$AJ78:$AS78))))</f>
        <v>0</v>
      </c>
      <c r="I78" s="42" t="n">
        <f aca="false">AM78+MIN(AC78-AM78,MAX(0,'Start Here'!$B$10-SUM($AJ78:$AS78)-SUMPRODUCT(($Z$3:$AI$3&lt;AC$3)*($Z78:$AI78-$AJ78:$AS78))))</f>
        <v>0</v>
      </c>
      <c r="J78" s="42" t="n">
        <f aca="false">AN78+MIN(AD78-AN78,MAX(0,'Start Here'!$B$10-SUM($AJ78:$AS78)-SUMPRODUCT(($Z$3:$AI$3&lt;AD$3)*($Z78:$AI78-$AJ78:$AS78))))</f>
        <v>0</v>
      </c>
      <c r="K78" s="42" t="n">
        <f aca="false">AO78+MIN(AE78-AO78,MAX(0,'Start Here'!$B$10-SUM($AJ78:$AS78)-SUMPRODUCT(($Z$3:$AI$3&lt;AE$3)*($Z78:$AI78-$AJ78:$AS78))))</f>
        <v>0</v>
      </c>
      <c r="L78" s="42" t="n">
        <f aca="false">AP78+MIN(AF78-AP78,MAX(0,'Start Here'!$B$10-SUM($AJ78:$AS78)-SUMPRODUCT(($Z$3:$AI$3&lt;AF$3)*($Z78:$AI78-$AJ78:$AS78))))</f>
        <v>0</v>
      </c>
      <c r="M78" s="42" t="n">
        <f aca="false">AQ78+MIN(AG78-AQ78,MAX(0,'Start Here'!$B$10-SUM($AJ78:$AS78)-SUMPRODUCT(($Z$3:$AI$3&lt;AG$3)*($Z78:$AI78-$AJ78:$AS78))))</f>
        <v>0</v>
      </c>
      <c r="N78" s="42" t="n">
        <f aca="false">AR78+MIN(AH78-AR78,MAX(0,'Start Here'!$B$10-SUM($AJ78:$AS78)-SUMPRODUCT(($Z$3:$AI$3&lt;AH$3)*($Z78:$AI78-$AJ78:$AS78))))</f>
        <v>0</v>
      </c>
      <c r="O78" s="42" t="n">
        <f aca="false">AS78+MIN(AI78-AS78,MAX(0,'Start Here'!$B$10-SUM($AJ78:$AS78)-SUMPRODUCT(($Z$3:$AI$3&lt;AI$3)*($Z78:$AI78-$AJ78:$AS78))))</f>
        <v>0</v>
      </c>
      <c r="P78" s="42" t="n">
        <f aca="false">ROUND(Z78-F78,2)</f>
        <v>0</v>
      </c>
      <c r="Q78" s="42" t="n">
        <f aca="false">ROUND(AA78-G78,2)</f>
        <v>0</v>
      </c>
      <c r="R78" s="42" t="n">
        <f aca="false">ROUND(AB78-H78,2)</f>
        <v>0</v>
      </c>
      <c r="S78" s="42" t="n">
        <f aca="false">ROUND(AC78-I78,2)</f>
        <v>0</v>
      </c>
      <c r="T78" s="42" t="n">
        <f aca="false">ROUND(AD78-J78,2)</f>
        <v>0</v>
      </c>
      <c r="U78" s="42" t="n">
        <f aca="false">ROUND(AE78-K78,2)</f>
        <v>0</v>
      </c>
      <c r="V78" s="42" t="n">
        <f aca="false">ROUND(AF78-L78,2)</f>
        <v>0</v>
      </c>
      <c r="W78" s="42" t="n">
        <f aca="false">ROUND(AG78-M78,2)</f>
        <v>0</v>
      </c>
      <c r="X78" s="42" t="n">
        <f aca="false">ROUND(AH78-N78,2)</f>
        <v>0</v>
      </c>
      <c r="Y78" s="42" t="n">
        <f aca="false">ROUND(AI78-O78,2)</f>
        <v>0</v>
      </c>
      <c r="Z78" s="56" t="n">
        <f aca="false">ROUND(P77*(1+N(Debts!$D$5)/12),2)</f>
        <v>0</v>
      </c>
      <c r="AA78" s="56" t="n">
        <f aca="false">ROUND(Q77*(1+N(Debts!$D$6)/12),2)</f>
        <v>0</v>
      </c>
      <c r="AB78" s="56" t="n">
        <f aca="false">ROUND(R77*(1+N(Debts!$D$7)/12),2)</f>
        <v>0</v>
      </c>
      <c r="AC78" s="56" t="n">
        <f aca="false">ROUND(S77*(1+N(Debts!$D$8)/12),2)</f>
        <v>0</v>
      </c>
      <c r="AD78" s="56" t="n">
        <f aca="false">ROUND(T77*(1+N(Debts!$D$9)/12),2)</f>
        <v>0</v>
      </c>
      <c r="AE78" s="56" t="n">
        <f aca="false">ROUND(U77*(1+N(Debts!$D$10)/12),2)</f>
        <v>0</v>
      </c>
      <c r="AF78" s="56" t="n">
        <f aca="false">ROUND(V77*(1+N(Debts!$D$11)/12),2)</f>
        <v>0</v>
      </c>
      <c r="AG78" s="56" t="n">
        <f aca="false">ROUND(W77*(1+N(Debts!$D$12)/12),2)</f>
        <v>0</v>
      </c>
      <c r="AH78" s="56" t="n">
        <f aca="false">ROUND(X77*(1+N(Debts!$D$13)/12),2)</f>
        <v>0</v>
      </c>
      <c r="AI78" s="56" t="n">
        <f aca="false">ROUND(Y77*(1+N(Debts!$D$14)/12),2)</f>
        <v>0</v>
      </c>
      <c r="AJ78" s="56" t="n">
        <f aca="false">MIN(Z78,MAX(0,N(Debts!$E$5)))</f>
        <v>0</v>
      </c>
      <c r="AK78" s="56" t="n">
        <f aca="false">MIN(AA78,MAX(0,N(Debts!$E$6)))</f>
        <v>0</v>
      </c>
      <c r="AL78" s="56" t="n">
        <f aca="false">MIN(AB78,MAX(0,N(Debts!$E$7)))</f>
        <v>0</v>
      </c>
      <c r="AM78" s="56" t="n">
        <f aca="false">MIN(AC78,MAX(0,N(Debts!$E$8)))</f>
        <v>0</v>
      </c>
      <c r="AN78" s="56" t="n">
        <f aca="false">MIN(AD78,MAX(0,N(Debts!$E$9)))</f>
        <v>0</v>
      </c>
      <c r="AO78" s="56" t="n">
        <f aca="false">MIN(AE78,MAX(0,N(Debts!$E$10)))</f>
        <v>0</v>
      </c>
      <c r="AP78" s="56" t="n">
        <f aca="false">MIN(AF78,MAX(0,N(Debts!$E$11)))</f>
        <v>0</v>
      </c>
      <c r="AQ78" s="56" t="n">
        <f aca="false">MIN(AG78,MAX(0,N(Debts!$E$12)))</f>
        <v>0</v>
      </c>
      <c r="AR78" s="56" t="n">
        <f aca="false">MIN(AH78,MAX(0,N(Debts!$E$13)))</f>
        <v>0</v>
      </c>
      <c r="AS78" s="56" t="n">
        <f aca="false">MIN(AI78,MAX(0,N(Debts!$E$14)))</f>
        <v>0</v>
      </c>
    </row>
    <row r="79" customFormat="false" ht="15" hidden="false" customHeight="false" outlineLevel="0" collapsed="false">
      <c r="A79" s="53" t="n">
        <v>75</v>
      </c>
      <c r="B79" s="54" t="n">
        <f aca="false">EDATE('Start Here'!$B$8,74)</f>
        <v>48580</v>
      </c>
      <c r="C79" s="42" t="n">
        <f aca="false">SUM(F79:O79)</f>
        <v>0</v>
      </c>
      <c r="D79" s="42" t="n">
        <f aca="false">ROUND(SUM($Z79:$AI79)-SUM(P78:Y78),2)</f>
        <v>0</v>
      </c>
      <c r="E79" s="55" t="n">
        <f aca="false">SUM(P79:Y79)</f>
        <v>0</v>
      </c>
      <c r="F79" s="42" t="n">
        <f aca="false">AJ79+MIN(Z79-AJ79,MAX(0,'Start Here'!$B$10-SUM($AJ79:$AS79)-SUMPRODUCT(($Z$3:$AI$3&lt;Z$3)*($Z79:$AI79-$AJ79:$AS79))))</f>
        <v>0</v>
      </c>
      <c r="G79" s="42" t="n">
        <f aca="false">AK79+MIN(AA79-AK79,MAX(0,'Start Here'!$B$10-SUM($AJ79:$AS79)-SUMPRODUCT(($Z$3:$AI$3&lt;AA$3)*($Z79:$AI79-$AJ79:$AS79))))</f>
        <v>0</v>
      </c>
      <c r="H79" s="42" t="n">
        <f aca="false">AL79+MIN(AB79-AL79,MAX(0,'Start Here'!$B$10-SUM($AJ79:$AS79)-SUMPRODUCT(($Z$3:$AI$3&lt;AB$3)*($Z79:$AI79-$AJ79:$AS79))))</f>
        <v>0</v>
      </c>
      <c r="I79" s="42" t="n">
        <f aca="false">AM79+MIN(AC79-AM79,MAX(0,'Start Here'!$B$10-SUM($AJ79:$AS79)-SUMPRODUCT(($Z$3:$AI$3&lt;AC$3)*($Z79:$AI79-$AJ79:$AS79))))</f>
        <v>0</v>
      </c>
      <c r="J79" s="42" t="n">
        <f aca="false">AN79+MIN(AD79-AN79,MAX(0,'Start Here'!$B$10-SUM($AJ79:$AS79)-SUMPRODUCT(($Z$3:$AI$3&lt;AD$3)*($Z79:$AI79-$AJ79:$AS79))))</f>
        <v>0</v>
      </c>
      <c r="K79" s="42" t="n">
        <f aca="false">AO79+MIN(AE79-AO79,MAX(0,'Start Here'!$B$10-SUM($AJ79:$AS79)-SUMPRODUCT(($Z$3:$AI$3&lt;AE$3)*($Z79:$AI79-$AJ79:$AS79))))</f>
        <v>0</v>
      </c>
      <c r="L79" s="42" t="n">
        <f aca="false">AP79+MIN(AF79-AP79,MAX(0,'Start Here'!$B$10-SUM($AJ79:$AS79)-SUMPRODUCT(($Z$3:$AI$3&lt;AF$3)*($Z79:$AI79-$AJ79:$AS79))))</f>
        <v>0</v>
      </c>
      <c r="M79" s="42" t="n">
        <f aca="false">AQ79+MIN(AG79-AQ79,MAX(0,'Start Here'!$B$10-SUM($AJ79:$AS79)-SUMPRODUCT(($Z$3:$AI$3&lt;AG$3)*($Z79:$AI79-$AJ79:$AS79))))</f>
        <v>0</v>
      </c>
      <c r="N79" s="42" t="n">
        <f aca="false">AR79+MIN(AH79-AR79,MAX(0,'Start Here'!$B$10-SUM($AJ79:$AS79)-SUMPRODUCT(($Z$3:$AI$3&lt;AH$3)*($Z79:$AI79-$AJ79:$AS79))))</f>
        <v>0</v>
      </c>
      <c r="O79" s="42" t="n">
        <f aca="false">AS79+MIN(AI79-AS79,MAX(0,'Start Here'!$B$10-SUM($AJ79:$AS79)-SUMPRODUCT(($Z$3:$AI$3&lt;AI$3)*($Z79:$AI79-$AJ79:$AS79))))</f>
        <v>0</v>
      </c>
      <c r="P79" s="42" t="n">
        <f aca="false">ROUND(Z79-F79,2)</f>
        <v>0</v>
      </c>
      <c r="Q79" s="42" t="n">
        <f aca="false">ROUND(AA79-G79,2)</f>
        <v>0</v>
      </c>
      <c r="R79" s="42" t="n">
        <f aca="false">ROUND(AB79-H79,2)</f>
        <v>0</v>
      </c>
      <c r="S79" s="42" t="n">
        <f aca="false">ROUND(AC79-I79,2)</f>
        <v>0</v>
      </c>
      <c r="T79" s="42" t="n">
        <f aca="false">ROUND(AD79-J79,2)</f>
        <v>0</v>
      </c>
      <c r="U79" s="42" t="n">
        <f aca="false">ROUND(AE79-K79,2)</f>
        <v>0</v>
      </c>
      <c r="V79" s="42" t="n">
        <f aca="false">ROUND(AF79-L79,2)</f>
        <v>0</v>
      </c>
      <c r="W79" s="42" t="n">
        <f aca="false">ROUND(AG79-M79,2)</f>
        <v>0</v>
      </c>
      <c r="X79" s="42" t="n">
        <f aca="false">ROUND(AH79-N79,2)</f>
        <v>0</v>
      </c>
      <c r="Y79" s="42" t="n">
        <f aca="false">ROUND(AI79-O79,2)</f>
        <v>0</v>
      </c>
      <c r="Z79" s="56" t="n">
        <f aca="false">ROUND(P78*(1+N(Debts!$D$5)/12),2)</f>
        <v>0</v>
      </c>
      <c r="AA79" s="56" t="n">
        <f aca="false">ROUND(Q78*(1+N(Debts!$D$6)/12),2)</f>
        <v>0</v>
      </c>
      <c r="AB79" s="56" t="n">
        <f aca="false">ROUND(R78*(1+N(Debts!$D$7)/12),2)</f>
        <v>0</v>
      </c>
      <c r="AC79" s="56" t="n">
        <f aca="false">ROUND(S78*(1+N(Debts!$D$8)/12),2)</f>
        <v>0</v>
      </c>
      <c r="AD79" s="56" t="n">
        <f aca="false">ROUND(T78*(1+N(Debts!$D$9)/12),2)</f>
        <v>0</v>
      </c>
      <c r="AE79" s="56" t="n">
        <f aca="false">ROUND(U78*(1+N(Debts!$D$10)/12),2)</f>
        <v>0</v>
      </c>
      <c r="AF79" s="56" t="n">
        <f aca="false">ROUND(V78*(1+N(Debts!$D$11)/12),2)</f>
        <v>0</v>
      </c>
      <c r="AG79" s="56" t="n">
        <f aca="false">ROUND(W78*(1+N(Debts!$D$12)/12),2)</f>
        <v>0</v>
      </c>
      <c r="AH79" s="56" t="n">
        <f aca="false">ROUND(X78*(1+N(Debts!$D$13)/12),2)</f>
        <v>0</v>
      </c>
      <c r="AI79" s="56" t="n">
        <f aca="false">ROUND(Y78*(1+N(Debts!$D$14)/12),2)</f>
        <v>0</v>
      </c>
      <c r="AJ79" s="56" t="n">
        <f aca="false">MIN(Z79,MAX(0,N(Debts!$E$5)))</f>
        <v>0</v>
      </c>
      <c r="AK79" s="56" t="n">
        <f aca="false">MIN(AA79,MAX(0,N(Debts!$E$6)))</f>
        <v>0</v>
      </c>
      <c r="AL79" s="56" t="n">
        <f aca="false">MIN(AB79,MAX(0,N(Debts!$E$7)))</f>
        <v>0</v>
      </c>
      <c r="AM79" s="56" t="n">
        <f aca="false">MIN(AC79,MAX(0,N(Debts!$E$8)))</f>
        <v>0</v>
      </c>
      <c r="AN79" s="56" t="n">
        <f aca="false">MIN(AD79,MAX(0,N(Debts!$E$9)))</f>
        <v>0</v>
      </c>
      <c r="AO79" s="56" t="n">
        <f aca="false">MIN(AE79,MAX(0,N(Debts!$E$10)))</f>
        <v>0</v>
      </c>
      <c r="AP79" s="56" t="n">
        <f aca="false">MIN(AF79,MAX(0,N(Debts!$E$11)))</f>
        <v>0</v>
      </c>
      <c r="AQ79" s="56" t="n">
        <f aca="false">MIN(AG79,MAX(0,N(Debts!$E$12)))</f>
        <v>0</v>
      </c>
      <c r="AR79" s="56" t="n">
        <f aca="false">MIN(AH79,MAX(0,N(Debts!$E$13)))</f>
        <v>0</v>
      </c>
      <c r="AS79" s="56" t="n">
        <f aca="false">MIN(AI79,MAX(0,N(Debts!$E$14)))</f>
        <v>0</v>
      </c>
    </row>
    <row r="80" customFormat="false" ht="15" hidden="false" customHeight="false" outlineLevel="0" collapsed="false">
      <c r="A80" s="53" t="n">
        <v>76</v>
      </c>
      <c r="B80" s="54" t="n">
        <f aca="false">EDATE('Start Here'!$B$8,75)</f>
        <v>48611</v>
      </c>
      <c r="C80" s="42" t="n">
        <f aca="false">SUM(F80:O80)</f>
        <v>0</v>
      </c>
      <c r="D80" s="42" t="n">
        <f aca="false">ROUND(SUM($Z80:$AI80)-SUM(P79:Y79),2)</f>
        <v>0</v>
      </c>
      <c r="E80" s="55" t="n">
        <f aca="false">SUM(P80:Y80)</f>
        <v>0</v>
      </c>
      <c r="F80" s="42" t="n">
        <f aca="false">AJ80+MIN(Z80-AJ80,MAX(0,'Start Here'!$B$10-SUM($AJ80:$AS80)-SUMPRODUCT(($Z$3:$AI$3&lt;Z$3)*($Z80:$AI80-$AJ80:$AS80))))</f>
        <v>0</v>
      </c>
      <c r="G80" s="42" t="n">
        <f aca="false">AK80+MIN(AA80-AK80,MAX(0,'Start Here'!$B$10-SUM($AJ80:$AS80)-SUMPRODUCT(($Z$3:$AI$3&lt;AA$3)*($Z80:$AI80-$AJ80:$AS80))))</f>
        <v>0</v>
      </c>
      <c r="H80" s="42" t="n">
        <f aca="false">AL80+MIN(AB80-AL80,MAX(0,'Start Here'!$B$10-SUM($AJ80:$AS80)-SUMPRODUCT(($Z$3:$AI$3&lt;AB$3)*($Z80:$AI80-$AJ80:$AS80))))</f>
        <v>0</v>
      </c>
      <c r="I80" s="42" t="n">
        <f aca="false">AM80+MIN(AC80-AM80,MAX(0,'Start Here'!$B$10-SUM($AJ80:$AS80)-SUMPRODUCT(($Z$3:$AI$3&lt;AC$3)*($Z80:$AI80-$AJ80:$AS80))))</f>
        <v>0</v>
      </c>
      <c r="J80" s="42" t="n">
        <f aca="false">AN80+MIN(AD80-AN80,MAX(0,'Start Here'!$B$10-SUM($AJ80:$AS80)-SUMPRODUCT(($Z$3:$AI$3&lt;AD$3)*($Z80:$AI80-$AJ80:$AS80))))</f>
        <v>0</v>
      </c>
      <c r="K80" s="42" t="n">
        <f aca="false">AO80+MIN(AE80-AO80,MAX(0,'Start Here'!$B$10-SUM($AJ80:$AS80)-SUMPRODUCT(($Z$3:$AI$3&lt;AE$3)*($Z80:$AI80-$AJ80:$AS80))))</f>
        <v>0</v>
      </c>
      <c r="L80" s="42" t="n">
        <f aca="false">AP80+MIN(AF80-AP80,MAX(0,'Start Here'!$B$10-SUM($AJ80:$AS80)-SUMPRODUCT(($Z$3:$AI$3&lt;AF$3)*($Z80:$AI80-$AJ80:$AS80))))</f>
        <v>0</v>
      </c>
      <c r="M80" s="42" t="n">
        <f aca="false">AQ80+MIN(AG80-AQ80,MAX(0,'Start Here'!$B$10-SUM($AJ80:$AS80)-SUMPRODUCT(($Z$3:$AI$3&lt;AG$3)*($Z80:$AI80-$AJ80:$AS80))))</f>
        <v>0</v>
      </c>
      <c r="N80" s="42" t="n">
        <f aca="false">AR80+MIN(AH80-AR80,MAX(0,'Start Here'!$B$10-SUM($AJ80:$AS80)-SUMPRODUCT(($Z$3:$AI$3&lt;AH$3)*($Z80:$AI80-$AJ80:$AS80))))</f>
        <v>0</v>
      </c>
      <c r="O80" s="42" t="n">
        <f aca="false">AS80+MIN(AI80-AS80,MAX(0,'Start Here'!$B$10-SUM($AJ80:$AS80)-SUMPRODUCT(($Z$3:$AI$3&lt;AI$3)*($Z80:$AI80-$AJ80:$AS80))))</f>
        <v>0</v>
      </c>
      <c r="P80" s="42" t="n">
        <f aca="false">ROUND(Z80-F80,2)</f>
        <v>0</v>
      </c>
      <c r="Q80" s="42" t="n">
        <f aca="false">ROUND(AA80-G80,2)</f>
        <v>0</v>
      </c>
      <c r="R80" s="42" t="n">
        <f aca="false">ROUND(AB80-H80,2)</f>
        <v>0</v>
      </c>
      <c r="S80" s="42" t="n">
        <f aca="false">ROUND(AC80-I80,2)</f>
        <v>0</v>
      </c>
      <c r="T80" s="42" t="n">
        <f aca="false">ROUND(AD80-J80,2)</f>
        <v>0</v>
      </c>
      <c r="U80" s="42" t="n">
        <f aca="false">ROUND(AE80-K80,2)</f>
        <v>0</v>
      </c>
      <c r="V80" s="42" t="n">
        <f aca="false">ROUND(AF80-L80,2)</f>
        <v>0</v>
      </c>
      <c r="W80" s="42" t="n">
        <f aca="false">ROUND(AG80-M80,2)</f>
        <v>0</v>
      </c>
      <c r="X80" s="42" t="n">
        <f aca="false">ROUND(AH80-N80,2)</f>
        <v>0</v>
      </c>
      <c r="Y80" s="42" t="n">
        <f aca="false">ROUND(AI80-O80,2)</f>
        <v>0</v>
      </c>
      <c r="Z80" s="56" t="n">
        <f aca="false">ROUND(P79*(1+N(Debts!$D$5)/12),2)</f>
        <v>0</v>
      </c>
      <c r="AA80" s="56" t="n">
        <f aca="false">ROUND(Q79*(1+N(Debts!$D$6)/12),2)</f>
        <v>0</v>
      </c>
      <c r="AB80" s="56" t="n">
        <f aca="false">ROUND(R79*(1+N(Debts!$D$7)/12),2)</f>
        <v>0</v>
      </c>
      <c r="AC80" s="56" t="n">
        <f aca="false">ROUND(S79*(1+N(Debts!$D$8)/12),2)</f>
        <v>0</v>
      </c>
      <c r="AD80" s="56" t="n">
        <f aca="false">ROUND(T79*(1+N(Debts!$D$9)/12),2)</f>
        <v>0</v>
      </c>
      <c r="AE80" s="56" t="n">
        <f aca="false">ROUND(U79*(1+N(Debts!$D$10)/12),2)</f>
        <v>0</v>
      </c>
      <c r="AF80" s="56" t="n">
        <f aca="false">ROUND(V79*(1+N(Debts!$D$11)/12),2)</f>
        <v>0</v>
      </c>
      <c r="AG80" s="56" t="n">
        <f aca="false">ROUND(W79*(1+N(Debts!$D$12)/12),2)</f>
        <v>0</v>
      </c>
      <c r="AH80" s="56" t="n">
        <f aca="false">ROUND(X79*(1+N(Debts!$D$13)/12),2)</f>
        <v>0</v>
      </c>
      <c r="AI80" s="56" t="n">
        <f aca="false">ROUND(Y79*(1+N(Debts!$D$14)/12),2)</f>
        <v>0</v>
      </c>
      <c r="AJ80" s="56" t="n">
        <f aca="false">MIN(Z80,MAX(0,N(Debts!$E$5)))</f>
        <v>0</v>
      </c>
      <c r="AK80" s="56" t="n">
        <f aca="false">MIN(AA80,MAX(0,N(Debts!$E$6)))</f>
        <v>0</v>
      </c>
      <c r="AL80" s="56" t="n">
        <f aca="false">MIN(AB80,MAX(0,N(Debts!$E$7)))</f>
        <v>0</v>
      </c>
      <c r="AM80" s="56" t="n">
        <f aca="false">MIN(AC80,MAX(0,N(Debts!$E$8)))</f>
        <v>0</v>
      </c>
      <c r="AN80" s="56" t="n">
        <f aca="false">MIN(AD80,MAX(0,N(Debts!$E$9)))</f>
        <v>0</v>
      </c>
      <c r="AO80" s="56" t="n">
        <f aca="false">MIN(AE80,MAX(0,N(Debts!$E$10)))</f>
        <v>0</v>
      </c>
      <c r="AP80" s="56" t="n">
        <f aca="false">MIN(AF80,MAX(0,N(Debts!$E$11)))</f>
        <v>0</v>
      </c>
      <c r="AQ80" s="56" t="n">
        <f aca="false">MIN(AG80,MAX(0,N(Debts!$E$12)))</f>
        <v>0</v>
      </c>
      <c r="AR80" s="56" t="n">
        <f aca="false">MIN(AH80,MAX(0,N(Debts!$E$13)))</f>
        <v>0</v>
      </c>
      <c r="AS80" s="56" t="n">
        <f aca="false">MIN(AI80,MAX(0,N(Debts!$E$14)))</f>
        <v>0</v>
      </c>
    </row>
    <row r="81" customFormat="false" ht="15" hidden="false" customHeight="false" outlineLevel="0" collapsed="false">
      <c r="A81" s="53" t="n">
        <v>77</v>
      </c>
      <c r="B81" s="54" t="n">
        <f aca="false">EDATE('Start Here'!$B$8,76)</f>
        <v>48639</v>
      </c>
      <c r="C81" s="42" t="n">
        <f aca="false">SUM(F81:O81)</f>
        <v>0</v>
      </c>
      <c r="D81" s="42" t="n">
        <f aca="false">ROUND(SUM($Z81:$AI81)-SUM(P80:Y80),2)</f>
        <v>0</v>
      </c>
      <c r="E81" s="55" t="n">
        <f aca="false">SUM(P81:Y81)</f>
        <v>0</v>
      </c>
      <c r="F81" s="42" t="n">
        <f aca="false">AJ81+MIN(Z81-AJ81,MAX(0,'Start Here'!$B$10-SUM($AJ81:$AS81)-SUMPRODUCT(($Z$3:$AI$3&lt;Z$3)*($Z81:$AI81-$AJ81:$AS81))))</f>
        <v>0</v>
      </c>
      <c r="G81" s="42" t="n">
        <f aca="false">AK81+MIN(AA81-AK81,MAX(0,'Start Here'!$B$10-SUM($AJ81:$AS81)-SUMPRODUCT(($Z$3:$AI$3&lt;AA$3)*($Z81:$AI81-$AJ81:$AS81))))</f>
        <v>0</v>
      </c>
      <c r="H81" s="42" t="n">
        <f aca="false">AL81+MIN(AB81-AL81,MAX(0,'Start Here'!$B$10-SUM($AJ81:$AS81)-SUMPRODUCT(($Z$3:$AI$3&lt;AB$3)*($Z81:$AI81-$AJ81:$AS81))))</f>
        <v>0</v>
      </c>
      <c r="I81" s="42" t="n">
        <f aca="false">AM81+MIN(AC81-AM81,MAX(0,'Start Here'!$B$10-SUM($AJ81:$AS81)-SUMPRODUCT(($Z$3:$AI$3&lt;AC$3)*($Z81:$AI81-$AJ81:$AS81))))</f>
        <v>0</v>
      </c>
      <c r="J81" s="42" t="n">
        <f aca="false">AN81+MIN(AD81-AN81,MAX(0,'Start Here'!$B$10-SUM($AJ81:$AS81)-SUMPRODUCT(($Z$3:$AI$3&lt;AD$3)*($Z81:$AI81-$AJ81:$AS81))))</f>
        <v>0</v>
      </c>
      <c r="K81" s="42" t="n">
        <f aca="false">AO81+MIN(AE81-AO81,MAX(0,'Start Here'!$B$10-SUM($AJ81:$AS81)-SUMPRODUCT(($Z$3:$AI$3&lt;AE$3)*($Z81:$AI81-$AJ81:$AS81))))</f>
        <v>0</v>
      </c>
      <c r="L81" s="42" t="n">
        <f aca="false">AP81+MIN(AF81-AP81,MAX(0,'Start Here'!$B$10-SUM($AJ81:$AS81)-SUMPRODUCT(($Z$3:$AI$3&lt;AF$3)*($Z81:$AI81-$AJ81:$AS81))))</f>
        <v>0</v>
      </c>
      <c r="M81" s="42" t="n">
        <f aca="false">AQ81+MIN(AG81-AQ81,MAX(0,'Start Here'!$B$10-SUM($AJ81:$AS81)-SUMPRODUCT(($Z$3:$AI$3&lt;AG$3)*($Z81:$AI81-$AJ81:$AS81))))</f>
        <v>0</v>
      </c>
      <c r="N81" s="42" t="n">
        <f aca="false">AR81+MIN(AH81-AR81,MAX(0,'Start Here'!$B$10-SUM($AJ81:$AS81)-SUMPRODUCT(($Z$3:$AI$3&lt;AH$3)*($Z81:$AI81-$AJ81:$AS81))))</f>
        <v>0</v>
      </c>
      <c r="O81" s="42" t="n">
        <f aca="false">AS81+MIN(AI81-AS81,MAX(0,'Start Here'!$B$10-SUM($AJ81:$AS81)-SUMPRODUCT(($Z$3:$AI$3&lt;AI$3)*($Z81:$AI81-$AJ81:$AS81))))</f>
        <v>0</v>
      </c>
      <c r="P81" s="42" t="n">
        <f aca="false">ROUND(Z81-F81,2)</f>
        <v>0</v>
      </c>
      <c r="Q81" s="42" t="n">
        <f aca="false">ROUND(AA81-G81,2)</f>
        <v>0</v>
      </c>
      <c r="R81" s="42" t="n">
        <f aca="false">ROUND(AB81-H81,2)</f>
        <v>0</v>
      </c>
      <c r="S81" s="42" t="n">
        <f aca="false">ROUND(AC81-I81,2)</f>
        <v>0</v>
      </c>
      <c r="T81" s="42" t="n">
        <f aca="false">ROUND(AD81-J81,2)</f>
        <v>0</v>
      </c>
      <c r="U81" s="42" t="n">
        <f aca="false">ROUND(AE81-K81,2)</f>
        <v>0</v>
      </c>
      <c r="V81" s="42" t="n">
        <f aca="false">ROUND(AF81-L81,2)</f>
        <v>0</v>
      </c>
      <c r="W81" s="42" t="n">
        <f aca="false">ROUND(AG81-M81,2)</f>
        <v>0</v>
      </c>
      <c r="X81" s="42" t="n">
        <f aca="false">ROUND(AH81-N81,2)</f>
        <v>0</v>
      </c>
      <c r="Y81" s="42" t="n">
        <f aca="false">ROUND(AI81-O81,2)</f>
        <v>0</v>
      </c>
      <c r="Z81" s="56" t="n">
        <f aca="false">ROUND(P80*(1+N(Debts!$D$5)/12),2)</f>
        <v>0</v>
      </c>
      <c r="AA81" s="56" t="n">
        <f aca="false">ROUND(Q80*(1+N(Debts!$D$6)/12),2)</f>
        <v>0</v>
      </c>
      <c r="AB81" s="56" t="n">
        <f aca="false">ROUND(R80*(1+N(Debts!$D$7)/12),2)</f>
        <v>0</v>
      </c>
      <c r="AC81" s="56" t="n">
        <f aca="false">ROUND(S80*(1+N(Debts!$D$8)/12),2)</f>
        <v>0</v>
      </c>
      <c r="AD81" s="56" t="n">
        <f aca="false">ROUND(T80*(1+N(Debts!$D$9)/12),2)</f>
        <v>0</v>
      </c>
      <c r="AE81" s="56" t="n">
        <f aca="false">ROUND(U80*(1+N(Debts!$D$10)/12),2)</f>
        <v>0</v>
      </c>
      <c r="AF81" s="56" t="n">
        <f aca="false">ROUND(V80*(1+N(Debts!$D$11)/12),2)</f>
        <v>0</v>
      </c>
      <c r="AG81" s="56" t="n">
        <f aca="false">ROUND(W80*(1+N(Debts!$D$12)/12),2)</f>
        <v>0</v>
      </c>
      <c r="AH81" s="56" t="n">
        <f aca="false">ROUND(X80*(1+N(Debts!$D$13)/12),2)</f>
        <v>0</v>
      </c>
      <c r="AI81" s="56" t="n">
        <f aca="false">ROUND(Y80*(1+N(Debts!$D$14)/12),2)</f>
        <v>0</v>
      </c>
      <c r="AJ81" s="56" t="n">
        <f aca="false">MIN(Z81,MAX(0,N(Debts!$E$5)))</f>
        <v>0</v>
      </c>
      <c r="AK81" s="56" t="n">
        <f aca="false">MIN(AA81,MAX(0,N(Debts!$E$6)))</f>
        <v>0</v>
      </c>
      <c r="AL81" s="56" t="n">
        <f aca="false">MIN(AB81,MAX(0,N(Debts!$E$7)))</f>
        <v>0</v>
      </c>
      <c r="AM81" s="56" t="n">
        <f aca="false">MIN(AC81,MAX(0,N(Debts!$E$8)))</f>
        <v>0</v>
      </c>
      <c r="AN81" s="56" t="n">
        <f aca="false">MIN(AD81,MAX(0,N(Debts!$E$9)))</f>
        <v>0</v>
      </c>
      <c r="AO81" s="56" t="n">
        <f aca="false">MIN(AE81,MAX(0,N(Debts!$E$10)))</f>
        <v>0</v>
      </c>
      <c r="AP81" s="56" t="n">
        <f aca="false">MIN(AF81,MAX(0,N(Debts!$E$11)))</f>
        <v>0</v>
      </c>
      <c r="AQ81" s="56" t="n">
        <f aca="false">MIN(AG81,MAX(0,N(Debts!$E$12)))</f>
        <v>0</v>
      </c>
      <c r="AR81" s="56" t="n">
        <f aca="false">MIN(AH81,MAX(0,N(Debts!$E$13)))</f>
        <v>0</v>
      </c>
      <c r="AS81" s="56" t="n">
        <f aca="false">MIN(AI81,MAX(0,N(Debts!$E$14)))</f>
        <v>0</v>
      </c>
    </row>
    <row r="82" customFormat="false" ht="15" hidden="false" customHeight="false" outlineLevel="0" collapsed="false">
      <c r="A82" s="53" t="n">
        <v>78</v>
      </c>
      <c r="B82" s="54" t="n">
        <f aca="false">EDATE('Start Here'!$B$8,77)</f>
        <v>48670</v>
      </c>
      <c r="C82" s="42" t="n">
        <f aca="false">SUM(F82:O82)</f>
        <v>0</v>
      </c>
      <c r="D82" s="42" t="n">
        <f aca="false">ROUND(SUM($Z82:$AI82)-SUM(P81:Y81),2)</f>
        <v>0</v>
      </c>
      <c r="E82" s="55" t="n">
        <f aca="false">SUM(P82:Y82)</f>
        <v>0</v>
      </c>
      <c r="F82" s="42" t="n">
        <f aca="false">AJ82+MIN(Z82-AJ82,MAX(0,'Start Here'!$B$10-SUM($AJ82:$AS82)-SUMPRODUCT(($Z$3:$AI$3&lt;Z$3)*($Z82:$AI82-$AJ82:$AS82))))</f>
        <v>0</v>
      </c>
      <c r="G82" s="42" t="n">
        <f aca="false">AK82+MIN(AA82-AK82,MAX(0,'Start Here'!$B$10-SUM($AJ82:$AS82)-SUMPRODUCT(($Z$3:$AI$3&lt;AA$3)*($Z82:$AI82-$AJ82:$AS82))))</f>
        <v>0</v>
      </c>
      <c r="H82" s="42" t="n">
        <f aca="false">AL82+MIN(AB82-AL82,MAX(0,'Start Here'!$B$10-SUM($AJ82:$AS82)-SUMPRODUCT(($Z$3:$AI$3&lt;AB$3)*($Z82:$AI82-$AJ82:$AS82))))</f>
        <v>0</v>
      </c>
      <c r="I82" s="42" t="n">
        <f aca="false">AM82+MIN(AC82-AM82,MAX(0,'Start Here'!$B$10-SUM($AJ82:$AS82)-SUMPRODUCT(($Z$3:$AI$3&lt;AC$3)*($Z82:$AI82-$AJ82:$AS82))))</f>
        <v>0</v>
      </c>
      <c r="J82" s="42" t="n">
        <f aca="false">AN82+MIN(AD82-AN82,MAX(0,'Start Here'!$B$10-SUM($AJ82:$AS82)-SUMPRODUCT(($Z$3:$AI$3&lt;AD$3)*($Z82:$AI82-$AJ82:$AS82))))</f>
        <v>0</v>
      </c>
      <c r="K82" s="42" t="n">
        <f aca="false">AO82+MIN(AE82-AO82,MAX(0,'Start Here'!$B$10-SUM($AJ82:$AS82)-SUMPRODUCT(($Z$3:$AI$3&lt;AE$3)*($Z82:$AI82-$AJ82:$AS82))))</f>
        <v>0</v>
      </c>
      <c r="L82" s="42" t="n">
        <f aca="false">AP82+MIN(AF82-AP82,MAX(0,'Start Here'!$B$10-SUM($AJ82:$AS82)-SUMPRODUCT(($Z$3:$AI$3&lt;AF$3)*($Z82:$AI82-$AJ82:$AS82))))</f>
        <v>0</v>
      </c>
      <c r="M82" s="42" t="n">
        <f aca="false">AQ82+MIN(AG82-AQ82,MAX(0,'Start Here'!$B$10-SUM($AJ82:$AS82)-SUMPRODUCT(($Z$3:$AI$3&lt;AG$3)*($Z82:$AI82-$AJ82:$AS82))))</f>
        <v>0</v>
      </c>
      <c r="N82" s="42" t="n">
        <f aca="false">AR82+MIN(AH82-AR82,MAX(0,'Start Here'!$B$10-SUM($AJ82:$AS82)-SUMPRODUCT(($Z$3:$AI$3&lt;AH$3)*($Z82:$AI82-$AJ82:$AS82))))</f>
        <v>0</v>
      </c>
      <c r="O82" s="42" t="n">
        <f aca="false">AS82+MIN(AI82-AS82,MAX(0,'Start Here'!$B$10-SUM($AJ82:$AS82)-SUMPRODUCT(($Z$3:$AI$3&lt;AI$3)*($Z82:$AI82-$AJ82:$AS82))))</f>
        <v>0</v>
      </c>
      <c r="P82" s="42" t="n">
        <f aca="false">ROUND(Z82-F82,2)</f>
        <v>0</v>
      </c>
      <c r="Q82" s="42" t="n">
        <f aca="false">ROUND(AA82-G82,2)</f>
        <v>0</v>
      </c>
      <c r="R82" s="42" t="n">
        <f aca="false">ROUND(AB82-H82,2)</f>
        <v>0</v>
      </c>
      <c r="S82" s="42" t="n">
        <f aca="false">ROUND(AC82-I82,2)</f>
        <v>0</v>
      </c>
      <c r="T82" s="42" t="n">
        <f aca="false">ROUND(AD82-J82,2)</f>
        <v>0</v>
      </c>
      <c r="U82" s="42" t="n">
        <f aca="false">ROUND(AE82-K82,2)</f>
        <v>0</v>
      </c>
      <c r="V82" s="42" t="n">
        <f aca="false">ROUND(AF82-L82,2)</f>
        <v>0</v>
      </c>
      <c r="W82" s="42" t="n">
        <f aca="false">ROUND(AG82-M82,2)</f>
        <v>0</v>
      </c>
      <c r="X82" s="42" t="n">
        <f aca="false">ROUND(AH82-N82,2)</f>
        <v>0</v>
      </c>
      <c r="Y82" s="42" t="n">
        <f aca="false">ROUND(AI82-O82,2)</f>
        <v>0</v>
      </c>
      <c r="Z82" s="56" t="n">
        <f aca="false">ROUND(P81*(1+N(Debts!$D$5)/12),2)</f>
        <v>0</v>
      </c>
      <c r="AA82" s="56" t="n">
        <f aca="false">ROUND(Q81*(1+N(Debts!$D$6)/12),2)</f>
        <v>0</v>
      </c>
      <c r="AB82" s="56" t="n">
        <f aca="false">ROUND(R81*(1+N(Debts!$D$7)/12),2)</f>
        <v>0</v>
      </c>
      <c r="AC82" s="56" t="n">
        <f aca="false">ROUND(S81*(1+N(Debts!$D$8)/12),2)</f>
        <v>0</v>
      </c>
      <c r="AD82" s="56" t="n">
        <f aca="false">ROUND(T81*(1+N(Debts!$D$9)/12),2)</f>
        <v>0</v>
      </c>
      <c r="AE82" s="56" t="n">
        <f aca="false">ROUND(U81*(1+N(Debts!$D$10)/12),2)</f>
        <v>0</v>
      </c>
      <c r="AF82" s="56" t="n">
        <f aca="false">ROUND(V81*(1+N(Debts!$D$11)/12),2)</f>
        <v>0</v>
      </c>
      <c r="AG82" s="56" t="n">
        <f aca="false">ROUND(W81*(1+N(Debts!$D$12)/12),2)</f>
        <v>0</v>
      </c>
      <c r="AH82" s="56" t="n">
        <f aca="false">ROUND(X81*(1+N(Debts!$D$13)/12),2)</f>
        <v>0</v>
      </c>
      <c r="AI82" s="56" t="n">
        <f aca="false">ROUND(Y81*(1+N(Debts!$D$14)/12),2)</f>
        <v>0</v>
      </c>
      <c r="AJ82" s="56" t="n">
        <f aca="false">MIN(Z82,MAX(0,N(Debts!$E$5)))</f>
        <v>0</v>
      </c>
      <c r="AK82" s="56" t="n">
        <f aca="false">MIN(AA82,MAX(0,N(Debts!$E$6)))</f>
        <v>0</v>
      </c>
      <c r="AL82" s="56" t="n">
        <f aca="false">MIN(AB82,MAX(0,N(Debts!$E$7)))</f>
        <v>0</v>
      </c>
      <c r="AM82" s="56" t="n">
        <f aca="false">MIN(AC82,MAX(0,N(Debts!$E$8)))</f>
        <v>0</v>
      </c>
      <c r="AN82" s="56" t="n">
        <f aca="false">MIN(AD82,MAX(0,N(Debts!$E$9)))</f>
        <v>0</v>
      </c>
      <c r="AO82" s="56" t="n">
        <f aca="false">MIN(AE82,MAX(0,N(Debts!$E$10)))</f>
        <v>0</v>
      </c>
      <c r="AP82" s="56" t="n">
        <f aca="false">MIN(AF82,MAX(0,N(Debts!$E$11)))</f>
        <v>0</v>
      </c>
      <c r="AQ82" s="56" t="n">
        <f aca="false">MIN(AG82,MAX(0,N(Debts!$E$12)))</f>
        <v>0</v>
      </c>
      <c r="AR82" s="56" t="n">
        <f aca="false">MIN(AH82,MAX(0,N(Debts!$E$13)))</f>
        <v>0</v>
      </c>
      <c r="AS82" s="56" t="n">
        <f aca="false">MIN(AI82,MAX(0,N(Debts!$E$14)))</f>
        <v>0</v>
      </c>
    </row>
    <row r="83" customFormat="false" ht="15" hidden="false" customHeight="false" outlineLevel="0" collapsed="false">
      <c r="A83" s="53" t="n">
        <v>79</v>
      </c>
      <c r="B83" s="54" t="n">
        <f aca="false">EDATE('Start Here'!$B$8,78)</f>
        <v>48700</v>
      </c>
      <c r="C83" s="42" t="n">
        <f aca="false">SUM(F83:O83)</f>
        <v>0</v>
      </c>
      <c r="D83" s="42" t="n">
        <f aca="false">ROUND(SUM($Z83:$AI83)-SUM(P82:Y82),2)</f>
        <v>0</v>
      </c>
      <c r="E83" s="55" t="n">
        <f aca="false">SUM(P83:Y83)</f>
        <v>0</v>
      </c>
      <c r="F83" s="42" t="n">
        <f aca="false">AJ83+MIN(Z83-AJ83,MAX(0,'Start Here'!$B$10-SUM($AJ83:$AS83)-SUMPRODUCT(($Z$3:$AI$3&lt;Z$3)*($Z83:$AI83-$AJ83:$AS83))))</f>
        <v>0</v>
      </c>
      <c r="G83" s="42" t="n">
        <f aca="false">AK83+MIN(AA83-AK83,MAX(0,'Start Here'!$B$10-SUM($AJ83:$AS83)-SUMPRODUCT(($Z$3:$AI$3&lt;AA$3)*($Z83:$AI83-$AJ83:$AS83))))</f>
        <v>0</v>
      </c>
      <c r="H83" s="42" t="n">
        <f aca="false">AL83+MIN(AB83-AL83,MAX(0,'Start Here'!$B$10-SUM($AJ83:$AS83)-SUMPRODUCT(($Z$3:$AI$3&lt;AB$3)*($Z83:$AI83-$AJ83:$AS83))))</f>
        <v>0</v>
      </c>
      <c r="I83" s="42" t="n">
        <f aca="false">AM83+MIN(AC83-AM83,MAX(0,'Start Here'!$B$10-SUM($AJ83:$AS83)-SUMPRODUCT(($Z$3:$AI$3&lt;AC$3)*($Z83:$AI83-$AJ83:$AS83))))</f>
        <v>0</v>
      </c>
      <c r="J83" s="42" t="n">
        <f aca="false">AN83+MIN(AD83-AN83,MAX(0,'Start Here'!$B$10-SUM($AJ83:$AS83)-SUMPRODUCT(($Z$3:$AI$3&lt;AD$3)*($Z83:$AI83-$AJ83:$AS83))))</f>
        <v>0</v>
      </c>
      <c r="K83" s="42" t="n">
        <f aca="false">AO83+MIN(AE83-AO83,MAX(0,'Start Here'!$B$10-SUM($AJ83:$AS83)-SUMPRODUCT(($Z$3:$AI$3&lt;AE$3)*($Z83:$AI83-$AJ83:$AS83))))</f>
        <v>0</v>
      </c>
      <c r="L83" s="42" t="n">
        <f aca="false">AP83+MIN(AF83-AP83,MAX(0,'Start Here'!$B$10-SUM($AJ83:$AS83)-SUMPRODUCT(($Z$3:$AI$3&lt;AF$3)*($Z83:$AI83-$AJ83:$AS83))))</f>
        <v>0</v>
      </c>
      <c r="M83" s="42" t="n">
        <f aca="false">AQ83+MIN(AG83-AQ83,MAX(0,'Start Here'!$B$10-SUM($AJ83:$AS83)-SUMPRODUCT(($Z$3:$AI$3&lt;AG$3)*($Z83:$AI83-$AJ83:$AS83))))</f>
        <v>0</v>
      </c>
      <c r="N83" s="42" t="n">
        <f aca="false">AR83+MIN(AH83-AR83,MAX(0,'Start Here'!$B$10-SUM($AJ83:$AS83)-SUMPRODUCT(($Z$3:$AI$3&lt;AH$3)*($Z83:$AI83-$AJ83:$AS83))))</f>
        <v>0</v>
      </c>
      <c r="O83" s="42" t="n">
        <f aca="false">AS83+MIN(AI83-AS83,MAX(0,'Start Here'!$B$10-SUM($AJ83:$AS83)-SUMPRODUCT(($Z$3:$AI$3&lt;AI$3)*($Z83:$AI83-$AJ83:$AS83))))</f>
        <v>0</v>
      </c>
      <c r="P83" s="42" t="n">
        <f aca="false">ROUND(Z83-F83,2)</f>
        <v>0</v>
      </c>
      <c r="Q83" s="42" t="n">
        <f aca="false">ROUND(AA83-G83,2)</f>
        <v>0</v>
      </c>
      <c r="R83" s="42" t="n">
        <f aca="false">ROUND(AB83-H83,2)</f>
        <v>0</v>
      </c>
      <c r="S83" s="42" t="n">
        <f aca="false">ROUND(AC83-I83,2)</f>
        <v>0</v>
      </c>
      <c r="T83" s="42" t="n">
        <f aca="false">ROUND(AD83-J83,2)</f>
        <v>0</v>
      </c>
      <c r="U83" s="42" t="n">
        <f aca="false">ROUND(AE83-K83,2)</f>
        <v>0</v>
      </c>
      <c r="V83" s="42" t="n">
        <f aca="false">ROUND(AF83-L83,2)</f>
        <v>0</v>
      </c>
      <c r="W83" s="42" t="n">
        <f aca="false">ROUND(AG83-M83,2)</f>
        <v>0</v>
      </c>
      <c r="X83" s="42" t="n">
        <f aca="false">ROUND(AH83-N83,2)</f>
        <v>0</v>
      </c>
      <c r="Y83" s="42" t="n">
        <f aca="false">ROUND(AI83-O83,2)</f>
        <v>0</v>
      </c>
      <c r="Z83" s="56" t="n">
        <f aca="false">ROUND(P82*(1+N(Debts!$D$5)/12),2)</f>
        <v>0</v>
      </c>
      <c r="AA83" s="56" t="n">
        <f aca="false">ROUND(Q82*(1+N(Debts!$D$6)/12),2)</f>
        <v>0</v>
      </c>
      <c r="AB83" s="56" t="n">
        <f aca="false">ROUND(R82*(1+N(Debts!$D$7)/12),2)</f>
        <v>0</v>
      </c>
      <c r="AC83" s="56" t="n">
        <f aca="false">ROUND(S82*(1+N(Debts!$D$8)/12),2)</f>
        <v>0</v>
      </c>
      <c r="AD83" s="56" t="n">
        <f aca="false">ROUND(T82*(1+N(Debts!$D$9)/12),2)</f>
        <v>0</v>
      </c>
      <c r="AE83" s="56" t="n">
        <f aca="false">ROUND(U82*(1+N(Debts!$D$10)/12),2)</f>
        <v>0</v>
      </c>
      <c r="AF83" s="56" t="n">
        <f aca="false">ROUND(V82*(1+N(Debts!$D$11)/12),2)</f>
        <v>0</v>
      </c>
      <c r="AG83" s="56" t="n">
        <f aca="false">ROUND(W82*(1+N(Debts!$D$12)/12),2)</f>
        <v>0</v>
      </c>
      <c r="AH83" s="56" t="n">
        <f aca="false">ROUND(X82*(1+N(Debts!$D$13)/12),2)</f>
        <v>0</v>
      </c>
      <c r="AI83" s="56" t="n">
        <f aca="false">ROUND(Y82*(1+N(Debts!$D$14)/12),2)</f>
        <v>0</v>
      </c>
      <c r="AJ83" s="56" t="n">
        <f aca="false">MIN(Z83,MAX(0,N(Debts!$E$5)))</f>
        <v>0</v>
      </c>
      <c r="AK83" s="56" t="n">
        <f aca="false">MIN(AA83,MAX(0,N(Debts!$E$6)))</f>
        <v>0</v>
      </c>
      <c r="AL83" s="56" t="n">
        <f aca="false">MIN(AB83,MAX(0,N(Debts!$E$7)))</f>
        <v>0</v>
      </c>
      <c r="AM83" s="56" t="n">
        <f aca="false">MIN(AC83,MAX(0,N(Debts!$E$8)))</f>
        <v>0</v>
      </c>
      <c r="AN83" s="56" t="n">
        <f aca="false">MIN(AD83,MAX(0,N(Debts!$E$9)))</f>
        <v>0</v>
      </c>
      <c r="AO83" s="56" t="n">
        <f aca="false">MIN(AE83,MAX(0,N(Debts!$E$10)))</f>
        <v>0</v>
      </c>
      <c r="AP83" s="56" t="n">
        <f aca="false">MIN(AF83,MAX(0,N(Debts!$E$11)))</f>
        <v>0</v>
      </c>
      <c r="AQ83" s="56" t="n">
        <f aca="false">MIN(AG83,MAX(0,N(Debts!$E$12)))</f>
        <v>0</v>
      </c>
      <c r="AR83" s="56" t="n">
        <f aca="false">MIN(AH83,MAX(0,N(Debts!$E$13)))</f>
        <v>0</v>
      </c>
      <c r="AS83" s="56" t="n">
        <f aca="false">MIN(AI83,MAX(0,N(Debts!$E$14)))</f>
        <v>0</v>
      </c>
    </row>
    <row r="84" customFormat="false" ht="15" hidden="false" customHeight="false" outlineLevel="0" collapsed="false">
      <c r="A84" s="53" t="n">
        <v>80</v>
      </c>
      <c r="B84" s="54" t="n">
        <f aca="false">EDATE('Start Here'!$B$8,79)</f>
        <v>48731</v>
      </c>
      <c r="C84" s="42" t="n">
        <f aca="false">SUM(F84:O84)</f>
        <v>0</v>
      </c>
      <c r="D84" s="42" t="n">
        <f aca="false">ROUND(SUM($Z84:$AI84)-SUM(P83:Y83),2)</f>
        <v>0</v>
      </c>
      <c r="E84" s="55" t="n">
        <f aca="false">SUM(P84:Y84)</f>
        <v>0</v>
      </c>
      <c r="F84" s="42" t="n">
        <f aca="false">AJ84+MIN(Z84-AJ84,MAX(0,'Start Here'!$B$10-SUM($AJ84:$AS84)-SUMPRODUCT(($Z$3:$AI$3&lt;Z$3)*($Z84:$AI84-$AJ84:$AS84))))</f>
        <v>0</v>
      </c>
      <c r="G84" s="42" t="n">
        <f aca="false">AK84+MIN(AA84-AK84,MAX(0,'Start Here'!$B$10-SUM($AJ84:$AS84)-SUMPRODUCT(($Z$3:$AI$3&lt;AA$3)*($Z84:$AI84-$AJ84:$AS84))))</f>
        <v>0</v>
      </c>
      <c r="H84" s="42" t="n">
        <f aca="false">AL84+MIN(AB84-AL84,MAX(0,'Start Here'!$B$10-SUM($AJ84:$AS84)-SUMPRODUCT(($Z$3:$AI$3&lt;AB$3)*($Z84:$AI84-$AJ84:$AS84))))</f>
        <v>0</v>
      </c>
      <c r="I84" s="42" t="n">
        <f aca="false">AM84+MIN(AC84-AM84,MAX(0,'Start Here'!$B$10-SUM($AJ84:$AS84)-SUMPRODUCT(($Z$3:$AI$3&lt;AC$3)*($Z84:$AI84-$AJ84:$AS84))))</f>
        <v>0</v>
      </c>
      <c r="J84" s="42" t="n">
        <f aca="false">AN84+MIN(AD84-AN84,MAX(0,'Start Here'!$B$10-SUM($AJ84:$AS84)-SUMPRODUCT(($Z$3:$AI$3&lt;AD$3)*($Z84:$AI84-$AJ84:$AS84))))</f>
        <v>0</v>
      </c>
      <c r="K84" s="42" t="n">
        <f aca="false">AO84+MIN(AE84-AO84,MAX(0,'Start Here'!$B$10-SUM($AJ84:$AS84)-SUMPRODUCT(($Z$3:$AI$3&lt;AE$3)*($Z84:$AI84-$AJ84:$AS84))))</f>
        <v>0</v>
      </c>
      <c r="L84" s="42" t="n">
        <f aca="false">AP84+MIN(AF84-AP84,MAX(0,'Start Here'!$B$10-SUM($AJ84:$AS84)-SUMPRODUCT(($Z$3:$AI$3&lt;AF$3)*($Z84:$AI84-$AJ84:$AS84))))</f>
        <v>0</v>
      </c>
      <c r="M84" s="42" t="n">
        <f aca="false">AQ84+MIN(AG84-AQ84,MAX(0,'Start Here'!$B$10-SUM($AJ84:$AS84)-SUMPRODUCT(($Z$3:$AI$3&lt;AG$3)*($Z84:$AI84-$AJ84:$AS84))))</f>
        <v>0</v>
      </c>
      <c r="N84" s="42" t="n">
        <f aca="false">AR84+MIN(AH84-AR84,MAX(0,'Start Here'!$B$10-SUM($AJ84:$AS84)-SUMPRODUCT(($Z$3:$AI$3&lt;AH$3)*($Z84:$AI84-$AJ84:$AS84))))</f>
        <v>0</v>
      </c>
      <c r="O84" s="42" t="n">
        <f aca="false">AS84+MIN(AI84-AS84,MAX(0,'Start Here'!$B$10-SUM($AJ84:$AS84)-SUMPRODUCT(($Z$3:$AI$3&lt;AI$3)*($Z84:$AI84-$AJ84:$AS84))))</f>
        <v>0</v>
      </c>
      <c r="P84" s="42" t="n">
        <f aca="false">ROUND(Z84-F84,2)</f>
        <v>0</v>
      </c>
      <c r="Q84" s="42" t="n">
        <f aca="false">ROUND(AA84-G84,2)</f>
        <v>0</v>
      </c>
      <c r="R84" s="42" t="n">
        <f aca="false">ROUND(AB84-H84,2)</f>
        <v>0</v>
      </c>
      <c r="S84" s="42" t="n">
        <f aca="false">ROUND(AC84-I84,2)</f>
        <v>0</v>
      </c>
      <c r="T84" s="42" t="n">
        <f aca="false">ROUND(AD84-J84,2)</f>
        <v>0</v>
      </c>
      <c r="U84" s="42" t="n">
        <f aca="false">ROUND(AE84-K84,2)</f>
        <v>0</v>
      </c>
      <c r="V84" s="42" t="n">
        <f aca="false">ROUND(AF84-L84,2)</f>
        <v>0</v>
      </c>
      <c r="W84" s="42" t="n">
        <f aca="false">ROUND(AG84-M84,2)</f>
        <v>0</v>
      </c>
      <c r="X84" s="42" t="n">
        <f aca="false">ROUND(AH84-N84,2)</f>
        <v>0</v>
      </c>
      <c r="Y84" s="42" t="n">
        <f aca="false">ROUND(AI84-O84,2)</f>
        <v>0</v>
      </c>
      <c r="Z84" s="56" t="n">
        <f aca="false">ROUND(P83*(1+N(Debts!$D$5)/12),2)</f>
        <v>0</v>
      </c>
      <c r="AA84" s="56" t="n">
        <f aca="false">ROUND(Q83*(1+N(Debts!$D$6)/12),2)</f>
        <v>0</v>
      </c>
      <c r="AB84" s="56" t="n">
        <f aca="false">ROUND(R83*(1+N(Debts!$D$7)/12),2)</f>
        <v>0</v>
      </c>
      <c r="AC84" s="56" t="n">
        <f aca="false">ROUND(S83*(1+N(Debts!$D$8)/12),2)</f>
        <v>0</v>
      </c>
      <c r="AD84" s="56" t="n">
        <f aca="false">ROUND(T83*(1+N(Debts!$D$9)/12),2)</f>
        <v>0</v>
      </c>
      <c r="AE84" s="56" t="n">
        <f aca="false">ROUND(U83*(1+N(Debts!$D$10)/12),2)</f>
        <v>0</v>
      </c>
      <c r="AF84" s="56" t="n">
        <f aca="false">ROUND(V83*(1+N(Debts!$D$11)/12),2)</f>
        <v>0</v>
      </c>
      <c r="AG84" s="56" t="n">
        <f aca="false">ROUND(W83*(1+N(Debts!$D$12)/12),2)</f>
        <v>0</v>
      </c>
      <c r="AH84" s="56" t="n">
        <f aca="false">ROUND(X83*(1+N(Debts!$D$13)/12),2)</f>
        <v>0</v>
      </c>
      <c r="AI84" s="56" t="n">
        <f aca="false">ROUND(Y83*(1+N(Debts!$D$14)/12),2)</f>
        <v>0</v>
      </c>
      <c r="AJ84" s="56" t="n">
        <f aca="false">MIN(Z84,MAX(0,N(Debts!$E$5)))</f>
        <v>0</v>
      </c>
      <c r="AK84" s="56" t="n">
        <f aca="false">MIN(AA84,MAX(0,N(Debts!$E$6)))</f>
        <v>0</v>
      </c>
      <c r="AL84" s="56" t="n">
        <f aca="false">MIN(AB84,MAX(0,N(Debts!$E$7)))</f>
        <v>0</v>
      </c>
      <c r="AM84" s="56" t="n">
        <f aca="false">MIN(AC84,MAX(0,N(Debts!$E$8)))</f>
        <v>0</v>
      </c>
      <c r="AN84" s="56" t="n">
        <f aca="false">MIN(AD84,MAX(0,N(Debts!$E$9)))</f>
        <v>0</v>
      </c>
      <c r="AO84" s="56" t="n">
        <f aca="false">MIN(AE84,MAX(0,N(Debts!$E$10)))</f>
        <v>0</v>
      </c>
      <c r="AP84" s="56" t="n">
        <f aca="false">MIN(AF84,MAX(0,N(Debts!$E$11)))</f>
        <v>0</v>
      </c>
      <c r="AQ84" s="56" t="n">
        <f aca="false">MIN(AG84,MAX(0,N(Debts!$E$12)))</f>
        <v>0</v>
      </c>
      <c r="AR84" s="56" t="n">
        <f aca="false">MIN(AH84,MAX(0,N(Debts!$E$13)))</f>
        <v>0</v>
      </c>
      <c r="AS84" s="56" t="n">
        <f aca="false">MIN(AI84,MAX(0,N(Debts!$E$14)))</f>
        <v>0</v>
      </c>
    </row>
    <row r="85" customFormat="false" ht="15" hidden="false" customHeight="false" outlineLevel="0" collapsed="false">
      <c r="A85" s="53" t="n">
        <v>81</v>
      </c>
      <c r="B85" s="54" t="n">
        <f aca="false">EDATE('Start Here'!$B$8,80)</f>
        <v>48761</v>
      </c>
      <c r="C85" s="42" t="n">
        <f aca="false">SUM(F85:O85)</f>
        <v>0</v>
      </c>
      <c r="D85" s="42" t="n">
        <f aca="false">ROUND(SUM($Z85:$AI85)-SUM(P84:Y84),2)</f>
        <v>0</v>
      </c>
      <c r="E85" s="55" t="n">
        <f aca="false">SUM(P85:Y85)</f>
        <v>0</v>
      </c>
      <c r="F85" s="42" t="n">
        <f aca="false">AJ85+MIN(Z85-AJ85,MAX(0,'Start Here'!$B$10-SUM($AJ85:$AS85)-SUMPRODUCT(($Z$3:$AI$3&lt;Z$3)*($Z85:$AI85-$AJ85:$AS85))))</f>
        <v>0</v>
      </c>
      <c r="G85" s="42" t="n">
        <f aca="false">AK85+MIN(AA85-AK85,MAX(0,'Start Here'!$B$10-SUM($AJ85:$AS85)-SUMPRODUCT(($Z$3:$AI$3&lt;AA$3)*($Z85:$AI85-$AJ85:$AS85))))</f>
        <v>0</v>
      </c>
      <c r="H85" s="42" t="n">
        <f aca="false">AL85+MIN(AB85-AL85,MAX(0,'Start Here'!$B$10-SUM($AJ85:$AS85)-SUMPRODUCT(($Z$3:$AI$3&lt;AB$3)*($Z85:$AI85-$AJ85:$AS85))))</f>
        <v>0</v>
      </c>
      <c r="I85" s="42" t="n">
        <f aca="false">AM85+MIN(AC85-AM85,MAX(0,'Start Here'!$B$10-SUM($AJ85:$AS85)-SUMPRODUCT(($Z$3:$AI$3&lt;AC$3)*($Z85:$AI85-$AJ85:$AS85))))</f>
        <v>0</v>
      </c>
      <c r="J85" s="42" t="n">
        <f aca="false">AN85+MIN(AD85-AN85,MAX(0,'Start Here'!$B$10-SUM($AJ85:$AS85)-SUMPRODUCT(($Z$3:$AI$3&lt;AD$3)*($Z85:$AI85-$AJ85:$AS85))))</f>
        <v>0</v>
      </c>
      <c r="K85" s="42" t="n">
        <f aca="false">AO85+MIN(AE85-AO85,MAX(0,'Start Here'!$B$10-SUM($AJ85:$AS85)-SUMPRODUCT(($Z$3:$AI$3&lt;AE$3)*($Z85:$AI85-$AJ85:$AS85))))</f>
        <v>0</v>
      </c>
      <c r="L85" s="42" t="n">
        <f aca="false">AP85+MIN(AF85-AP85,MAX(0,'Start Here'!$B$10-SUM($AJ85:$AS85)-SUMPRODUCT(($Z$3:$AI$3&lt;AF$3)*($Z85:$AI85-$AJ85:$AS85))))</f>
        <v>0</v>
      </c>
      <c r="M85" s="42" t="n">
        <f aca="false">AQ85+MIN(AG85-AQ85,MAX(0,'Start Here'!$B$10-SUM($AJ85:$AS85)-SUMPRODUCT(($Z$3:$AI$3&lt;AG$3)*($Z85:$AI85-$AJ85:$AS85))))</f>
        <v>0</v>
      </c>
      <c r="N85" s="42" t="n">
        <f aca="false">AR85+MIN(AH85-AR85,MAX(0,'Start Here'!$B$10-SUM($AJ85:$AS85)-SUMPRODUCT(($Z$3:$AI$3&lt;AH$3)*($Z85:$AI85-$AJ85:$AS85))))</f>
        <v>0</v>
      </c>
      <c r="O85" s="42" t="n">
        <f aca="false">AS85+MIN(AI85-AS85,MAX(0,'Start Here'!$B$10-SUM($AJ85:$AS85)-SUMPRODUCT(($Z$3:$AI$3&lt;AI$3)*($Z85:$AI85-$AJ85:$AS85))))</f>
        <v>0</v>
      </c>
      <c r="P85" s="42" t="n">
        <f aca="false">ROUND(Z85-F85,2)</f>
        <v>0</v>
      </c>
      <c r="Q85" s="42" t="n">
        <f aca="false">ROUND(AA85-G85,2)</f>
        <v>0</v>
      </c>
      <c r="R85" s="42" t="n">
        <f aca="false">ROUND(AB85-H85,2)</f>
        <v>0</v>
      </c>
      <c r="S85" s="42" t="n">
        <f aca="false">ROUND(AC85-I85,2)</f>
        <v>0</v>
      </c>
      <c r="T85" s="42" t="n">
        <f aca="false">ROUND(AD85-J85,2)</f>
        <v>0</v>
      </c>
      <c r="U85" s="42" t="n">
        <f aca="false">ROUND(AE85-K85,2)</f>
        <v>0</v>
      </c>
      <c r="V85" s="42" t="n">
        <f aca="false">ROUND(AF85-L85,2)</f>
        <v>0</v>
      </c>
      <c r="W85" s="42" t="n">
        <f aca="false">ROUND(AG85-M85,2)</f>
        <v>0</v>
      </c>
      <c r="X85" s="42" t="n">
        <f aca="false">ROUND(AH85-N85,2)</f>
        <v>0</v>
      </c>
      <c r="Y85" s="42" t="n">
        <f aca="false">ROUND(AI85-O85,2)</f>
        <v>0</v>
      </c>
      <c r="Z85" s="56" t="n">
        <f aca="false">ROUND(P84*(1+N(Debts!$D$5)/12),2)</f>
        <v>0</v>
      </c>
      <c r="AA85" s="56" t="n">
        <f aca="false">ROUND(Q84*(1+N(Debts!$D$6)/12),2)</f>
        <v>0</v>
      </c>
      <c r="AB85" s="56" t="n">
        <f aca="false">ROUND(R84*(1+N(Debts!$D$7)/12),2)</f>
        <v>0</v>
      </c>
      <c r="AC85" s="56" t="n">
        <f aca="false">ROUND(S84*(1+N(Debts!$D$8)/12),2)</f>
        <v>0</v>
      </c>
      <c r="AD85" s="56" t="n">
        <f aca="false">ROUND(T84*(1+N(Debts!$D$9)/12),2)</f>
        <v>0</v>
      </c>
      <c r="AE85" s="56" t="n">
        <f aca="false">ROUND(U84*(1+N(Debts!$D$10)/12),2)</f>
        <v>0</v>
      </c>
      <c r="AF85" s="56" t="n">
        <f aca="false">ROUND(V84*(1+N(Debts!$D$11)/12),2)</f>
        <v>0</v>
      </c>
      <c r="AG85" s="56" t="n">
        <f aca="false">ROUND(W84*(1+N(Debts!$D$12)/12),2)</f>
        <v>0</v>
      </c>
      <c r="AH85" s="56" t="n">
        <f aca="false">ROUND(X84*(1+N(Debts!$D$13)/12),2)</f>
        <v>0</v>
      </c>
      <c r="AI85" s="56" t="n">
        <f aca="false">ROUND(Y84*(1+N(Debts!$D$14)/12),2)</f>
        <v>0</v>
      </c>
      <c r="AJ85" s="56" t="n">
        <f aca="false">MIN(Z85,MAX(0,N(Debts!$E$5)))</f>
        <v>0</v>
      </c>
      <c r="AK85" s="56" t="n">
        <f aca="false">MIN(AA85,MAX(0,N(Debts!$E$6)))</f>
        <v>0</v>
      </c>
      <c r="AL85" s="56" t="n">
        <f aca="false">MIN(AB85,MAX(0,N(Debts!$E$7)))</f>
        <v>0</v>
      </c>
      <c r="AM85" s="56" t="n">
        <f aca="false">MIN(AC85,MAX(0,N(Debts!$E$8)))</f>
        <v>0</v>
      </c>
      <c r="AN85" s="56" t="n">
        <f aca="false">MIN(AD85,MAX(0,N(Debts!$E$9)))</f>
        <v>0</v>
      </c>
      <c r="AO85" s="56" t="n">
        <f aca="false">MIN(AE85,MAX(0,N(Debts!$E$10)))</f>
        <v>0</v>
      </c>
      <c r="AP85" s="56" t="n">
        <f aca="false">MIN(AF85,MAX(0,N(Debts!$E$11)))</f>
        <v>0</v>
      </c>
      <c r="AQ85" s="56" t="n">
        <f aca="false">MIN(AG85,MAX(0,N(Debts!$E$12)))</f>
        <v>0</v>
      </c>
      <c r="AR85" s="56" t="n">
        <f aca="false">MIN(AH85,MAX(0,N(Debts!$E$13)))</f>
        <v>0</v>
      </c>
      <c r="AS85" s="56" t="n">
        <f aca="false">MIN(AI85,MAX(0,N(Debts!$E$14)))</f>
        <v>0</v>
      </c>
    </row>
    <row r="86" customFormat="false" ht="15" hidden="false" customHeight="false" outlineLevel="0" collapsed="false">
      <c r="A86" s="53" t="n">
        <v>82</v>
      </c>
      <c r="B86" s="54" t="n">
        <f aca="false">EDATE('Start Here'!$B$8,81)</f>
        <v>48792</v>
      </c>
      <c r="C86" s="42" t="n">
        <f aca="false">SUM(F86:O86)</f>
        <v>0</v>
      </c>
      <c r="D86" s="42" t="n">
        <f aca="false">ROUND(SUM($Z86:$AI86)-SUM(P85:Y85),2)</f>
        <v>0</v>
      </c>
      <c r="E86" s="55" t="n">
        <f aca="false">SUM(P86:Y86)</f>
        <v>0</v>
      </c>
      <c r="F86" s="42" t="n">
        <f aca="false">AJ86+MIN(Z86-AJ86,MAX(0,'Start Here'!$B$10-SUM($AJ86:$AS86)-SUMPRODUCT(($Z$3:$AI$3&lt;Z$3)*($Z86:$AI86-$AJ86:$AS86))))</f>
        <v>0</v>
      </c>
      <c r="G86" s="42" t="n">
        <f aca="false">AK86+MIN(AA86-AK86,MAX(0,'Start Here'!$B$10-SUM($AJ86:$AS86)-SUMPRODUCT(($Z$3:$AI$3&lt;AA$3)*($Z86:$AI86-$AJ86:$AS86))))</f>
        <v>0</v>
      </c>
      <c r="H86" s="42" t="n">
        <f aca="false">AL86+MIN(AB86-AL86,MAX(0,'Start Here'!$B$10-SUM($AJ86:$AS86)-SUMPRODUCT(($Z$3:$AI$3&lt;AB$3)*($Z86:$AI86-$AJ86:$AS86))))</f>
        <v>0</v>
      </c>
      <c r="I86" s="42" t="n">
        <f aca="false">AM86+MIN(AC86-AM86,MAX(0,'Start Here'!$B$10-SUM($AJ86:$AS86)-SUMPRODUCT(($Z$3:$AI$3&lt;AC$3)*($Z86:$AI86-$AJ86:$AS86))))</f>
        <v>0</v>
      </c>
      <c r="J86" s="42" t="n">
        <f aca="false">AN86+MIN(AD86-AN86,MAX(0,'Start Here'!$B$10-SUM($AJ86:$AS86)-SUMPRODUCT(($Z$3:$AI$3&lt;AD$3)*($Z86:$AI86-$AJ86:$AS86))))</f>
        <v>0</v>
      </c>
      <c r="K86" s="42" t="n">
        <f aca="false">AO86+MIN(AE86-AO86,MAX(0,'Start Here'!$B$10-SUM($AJ86:$AS86)-SUMPRODUCT(($Z$3:$AI$3&lt;AE$3)*($Z86:$AI86-$AJ86:$AS86))))</f>
        <v>0</v>
      </c>
      <c r="L86" s="42" t="n">
        <f aca="false">AP86+MIN(AF86-AP86,MAX(0,'Start Here'!$B$10-SUM($AJ86:$AS86)-SUMPRODUCT(($Z$3:$AI$3&lt;AF$3)*($Z86:$AI86-$AJ86:$AS86))))</f>
        <v>0</v>
      </c>
      <c r="M86" s="42" t="n">
        <f aca="false">AQ86+MIN(AG86-AQ86,MAX(0,'Start Here'!$B$10-SUM($AJ86:$AS86)-SUMPRODUCT(($Z$3:$AI$3&lt;AG$3)*($Z86:$AI86-$AJ86:$AS86))))</f>
        <v>0</v>
      </c>
      <c r="N86" s="42" t="n">
        <f aca="false">AR86+MIN(AH86-AR86,MAX(0,'Start Here'!$B$10-SUM($AJ86:$AS86)-SUMPRODUCT(($Z$3:$AI$3&lt;AH$3)*($Z86:$AI86-$AJ86:$AS86))))</f>
        <v>0</v>
      </c>
      <c r="O86" s="42" t="n">
        <f aca="false">AS86+MIN(AI86-AS86,MAX(0,'Start Here'!$B$10-SUM($AJ86:$AS86)-SUMPRODUCT(($Z$3:$AI$3&lt;AI$3)*($Z86:$AI86-$AJ86:$AS86))))</f>
        <v>0</v>
      </c>
      <c r="P86" s="42" t="n">
        <f aca="false">ROUND(Z86-F86,2)</f>
        <v>0</v>
      </c>
      <c r="Q86" s="42" t="n">
        <f aca="false">ROUND(AA86-G86,2)</f>
        <v>0</v>
      </c>
      <c r="R86" s="42" t="n">
        <f aca="false">ROUND(AB86-H86,2)</f>
        <v>0</v>
      </c>
      <c r="S86" s="42" t="n">
        <f aca="false">ROUND(AC86-I86,2)</f>
        <v>0</v>
      </c>
      <c r="T86" s="42" t="n">
        <f aca="false">ROUND(AD86-J86,2)</f>
        <v>0</v>
      </c>
      <c r="U86" s="42" t="n">
        <f aca="false">ROUND(AE86-K86,2)</f>
        <v>0</v>
      </c>
      <c r="V86" s="42" t="n">
        <f aca="false">ROUND(AF86-L86,2)</f>
        <v>0</v>
      </c>
      <c r="W86" s="42" t="n">
        <f aca="false">ROUND(AG86-M86,2)</f>
        <v>0</v>
      </c>
      <c r="X86" s="42" t="n">
        <f aca="false">ROUND(AH86-N86,2)</f>
        <v>0</v>
      </c>
      <c r="Y86" s="42" t="n">
        <f aca="false">ROUND(AI86-O86,2)</f>
        <v>0</v>
      </c>
      <c r="Z86" s="56" t="n">
        <f aca="false">ROUND(P85*(1+N(Debts!$D$5)/12),2)</f>
        <v>0</v>
      </c>
      <c r="AA86" s="56" t="n">
        <f aca="false">ROUND(Q85*(1+N(Debts!$D$6)/12),2)</f>
        <v>0</v>
      </c>
      <c r="AB86" s="56" t="n">
        <f aca="false">ROUND(R85*(1+N(Debts!$D$7)/12),2)</f>
        <v>0</v>
      </c>
      <c r="AC86" s="56" t="n">
        <f aca="false">ROUND(S85*(1+N(Debts!$D$8)/12),2)</f>
        <v>0</v>
      </c>
      <c r="AD86" s="56" t="n">
        <f aca="false">ROUND(T85*(1+N(Debts!$D$9)/12),2)</f>
        <v>0</v>
      </c>
      <c r="AE86" s="56" t="n">
        <f aca="false">ROUND(U85*(1+N(Debts!$D$10)/12),2)</f>
        <v>0</v>
      </c>
      <c r="AF86" s="56" t="n">
        <f aca="false">ROUND(V85*(1+N(Debts!$D$11)/12),2)</f>
        <v>0</v>
      </c>
      <c r="AG86" s="56" t="n">
        <f aca="false">ROUND(W85*(1+N(Debts!$D$12)/12),2)</f>
        <v>0</v>
      </c>
      <c r="AH86" s="56" t="n">
        <f aca="false">ROUND(X85*(1+N(Debts!$D$13)/12),2)</f>
        <v>0</v>
      </c>
      <c r="AI86" s="56" t="n">
        <f aca="false">ROUND(Y85*(1+N(Debts!$D$14)/12),2)</f>
        <v>0</v>
      </c>
      <c r="AJ86" s="56" t="n">
        <f aca="false">MIN(Z86,MAX(0,N(Debts!$E$5)))</f>
        <v>0</v>
      </c>
      <c r="AK86" s="56" t="n">
        <f aca="false">MIN(AA86,MAX(0,N(Debts!$E$6)))</f>
        <v>0</v>
      </c>
      <c r="AL86" s="56" t="n">
        <f aca="false">MIN(AB86,MAX(0,N(Debts!$E$7)))</f>
        <v>0</v>
      </c>
      <c r="AM86" s="56" t="n">
        <f aca="false">MIN(AC86,MAX(0,N(Debts!$E$8)))</f>
        <v>0</v>
      </c>
      <c r="AN86" s="56" t="n">
        <f aca="false">MIN(AD86,MAX(0,N(Debts!$E$9)))</f>
        <v>0</v>
      </c>
      <c r="AO86" s="56" t="n">
        <f aca="false">MIN(AE86,MAX(0,N(Debts!$E$10)))</f>
        <v>0</v>
      </c>
      <c r="AP86" s="56" t="n">
        <f aca="false">MIN(AF86,MAX(0,N(Debts!$E$11)))</f>
        <v>0</v>
      </c>
      <c r="AQ86" s="56" t="n">
        <f aca="false">MIN(AG86,MAX(0,N(Debts!$E$12)))</f>
        <v>0</v>
      </c>
      <c r="AR86" s="56" t="n">
        <f aca="false">MIN(AH86,MAX(0,N(Debts!$E$13)))</f>
        <v>0</v>
      </c>
      <c r="AS86" s="56" t="n">
        <f aca="false">MIN(AI86,MAX(0,N(Debts!$E$14)))</f>
        <v>0</v>
      </c>
    </row>
    <row r="87" customFormat="false" ht="15" hidden="false" customHeight="false" outlineLevel="0" collapsed="false">
      <c r="A87" s="53" t="n">
        <v>83</v>
      </c>
      <c r="B87" s="54" t="n">
        <f aca="false">EDATE('Start Here'!$B$8,82)</f>
        <v>48823</v>
      </c>
      <c r="C87" s="42" t="n">
        <f aca="false">SUM(F87:O87)</f>
        <v>0</v>
      </c>
      <c r="D87" s="42" t="n">
        <f aca="false">ROUND(SUM($Z87:$AI87)-SUM(P86:Y86),2)</f>
        <v>0</v>
      </c>
      <c r="E87" s="55" t="n">
        <f aca="false">SUM(P87:Y87)</f>
        <v>0</v>
      </c>
      <c r="F87" s="42" t="n">
        <f aca="false">AJ87+MIN(Z87-AJ87,MAX(0,'Start Here'!$B$10-SUM($AJ87:$AS87)-SUMPRODUCT(($Z$3:$AI$3&lt;Z$3)*($Z87:$AI87-$AJ87:$AS87))))</f>
        <v>0</v>
      </c>
      <c r="G87" s="42" t="n">
        <f aca="false">AK87+MIN(AA87-AK87,MAX(0,'Start Here'!$B$10-SUM($AJ87:$AS87)-SUMPRODUCT(($Z$3:$AI$3&lt;AA$3)*($Z87:$AI87-$AJ87:$AS87))))</f>
        <v>0</v>
      </c>
      <c r="H87" s="42" t="n">
        <f aca="false">AL87+MIN(AB87-AL87,MAX(0,'Start Here'!$B$10-SUM($AJ87:$AS87)-SUMPRODUCT(($Z$3:$AI$3&lt;AB$3)*($Z87:$AI87-$AJ87:$AS87))))</f>
        <v>0</v>
      </c>
      <c r="I87" s="42" t="n">
        <f aca="false">AM87+MIN(AC87-AM87,MAX(0,'Start Here'!$B$10-SUM($AJ87:$AS87)-SUMPRODUCT(($Z$3:$AI$3&lt;AC$3)*($Z87:$AI87-$AJ87:$AS87))))</f>
        <v>0</v>
      </c>
      <c r="J87" s="42" t="n">
        <f aca="false">AN87+MIN(AD87-AN87,MAX(0,'Start Here'!$B$10-SUM($AJ87:$AS87)-SUMPRODUCT(($Z$3:$AI$3&lt;AD$3)*($Z87:$AI87-$AJ87:$AS87))))</f>
        <v>0</v>
      </c>
      <c r="K87" s="42" t="n">
        <f aca="false">AO87+MIN(AE87-AO87,MAX(0,'Start Here'!$B$10-SUM($AJ87:$AS87)-SUMPRODUCT(($Z$3:$AI$3&lt;AE$3)*($Z87:$AI87-$AJ87:$AS87))))</f>
        <v>0</v>
      </c>
      <c r="L87" s="42" t="n">
        <f aca="false">AP87+MIN(AF87-AP87,MAX(0,'Start Here'!$B$10-SUM($AJ87:$AS87)-SUMPRODUCT(($Z$3:$AI$3&lt;AF$3)*($Z87:$AI87-$AJ87:$AS87))))</f>
        <v>0</v>
      </c>
      <c r="M87" s="42" t="n">
        <f aca="false">AQ87+MIN(AG87-AQ87,MAX(0,'Start Here'!$B$10-SUM($AJ87:$AS87)-SUMPRODUCT(($Z$3:$AI$3&lt;AG$3)*($Z87:$AI87-$AJ87:$AS87))))</f>
        <v>0</v>
      </c>
      <c r="N87" s="42" t="n">
        <f aca="false">AR87+MIN(AH87-AR87,MAX(0,'Start Here'!$B$10-SUM($AJ87:$AS87)-SUMPRODUCT(($Z$3:$AI$3&lt;AH$3)*($Z87:$AI87-$AJ87:$AS87))))</f>
        <v>0</v>
      </c>
      <c r="O87" s="42" t="n">
        <f aca="false">AS87+MIN(AI87-AS87,MAX(0,'Start Here'!$B$10-SUM($AJ87:$AS87)-SUMPRODUCT(($Z$3:$AI$3&lt;AI$3)*($Z87:$AI87-$AJ87:$AS87))))</f>
        <v>0</v>
      </c>
      <c r="P87" s="42" t="n">
        <f aca="false">ROUND(Z87-F87,2)</f>
        <v>0</v>
      </c>
      <c r="Q87" s="42" t="n">
        <f aca="false">ROUND(AA87-G87,2)</f>
        <v>0</v>
      </c>
      <c r="R87" s="42" t="n">
        <f aca="false">ROUND(AB87-H87,2)</f>
        <v>0</v>
      </c>
      <c r="S87" s="42" t="n">
        <f aca="false">ROUND(AC87-I87,2)</f>
        <v>0</v>
      </c>
      <c r="T87" s="42" t="n">
        <f aca="false">ROUND(AD87-J87,2)</f>
        <v>0</v>
      </c>
      <c r="U87" s="42" t="n">
        <f aca="false">ROUND(AE87-K87,2)</f>
        <v>0</v>
      </c>
      <c r="V87" s="42" t="n">
        <f aca="false">ROUND(AF87-L87,2)</f>
        <v>0</v>
      </c>
      <c r="W87" s="42" t="n">
        <f aca="false">ROUND(AG87-M87,2)</f>
        <v>0</v>
      </c>
      <c r="X87" s="42" t="n">
        <f aca="false">ROUND(AH87-N87,2)</f>
        <v>0</v>
      </c>
      <c r="Y87" s="42" t="n">
        <f aca="false">ROUND(AI87-O87,2)</f>
        <v>0</v>
      </c>
      <c r="Z87" s="56" t="n">
        <f aca="false">ROUND(P86*(1+N(Debts!$D$5)/12),2)</f>
        <v>0</v>
      </c>
      <c r="AA87" s="56" t="n">
        <f aca="false">ROUND(Q86*(1+N(Debts!$D$6)/12),2)</f>
        <v>0</v>
      </c>
      <c r="AB87" s="56" t="n">
        <f aca="false">ROUND(R86*(1+N(Debts!$D$7)/12),2)</f>
        <v>0</v>
      </c>
      <c r="AC87" s="56" t="n">
        <f aca="false">ROUND(S86*(1+N(Debts!$D$8)/12),2)</f>
        <v>0</v>
      </c>
      <c r="AD87" s="56" t="n">
        <f aca="false">ROUND(T86*(1+N(Debts!$D$9)/12),2)</f>
        <v>0</v>
      </c>
      <c r="AE87" s="56" t="n">
        <f aca="false">ROUND(U86*(1+N(Debts!$D$10)/12),2)</f>
        <v>0</v>
      </c>
      <c r="AF87" s="56" t="n">
        <f aca="false">ROUND(V86*(1+N(Debts!$D$11)/12),2)</f>
        <v>0</v>
      </c>
      <c r="AG87" s="56" t="n">
        <f aca="false">ROUND(W86*(1+N(Debts!$D$12)/12),2)</f>
        <v>0</v>
      </c>
      <c r="AH87" s="56" t="n">
        <f aca="false">ROUND(X86*(1+N(Debts!$D$13)/12),2)</f>
        <v>0</v>
      </c>
      <c r="AI87" s="56" t="n">
        <f aca="false">ROUND(Y86*(1+N(Debts!$D$14)/12),2)</f>
        <v>0</v>
      </c>
      <c r="AJ87" s="56" t="n">
        <f aca="false">MIN(Z87,MAX(0,N(Debts!$E$5)))</f>
        <v>0</v>
      </c>
      <c r="AK87" s="56" t="n">
        <f aca="false">MIN(AA87,MAX(0,N(Debts!$E$6)))</f>
        <v>0</v>
      </c>
      <c r="AL87" s="56" t="n">
        <f aca="false">MIN(AB87,MAX(0,N(Debts!$E$7)))</f>
        <v>0</v>
      </c>
      <c r="AM87" s="56" t="n">
        <f aca="false">MIN(AC87,MAX(0,N(Debts!$E$8)))</f>
        <v>0</v>
      </c>
      <c r="AN87" s="56" t="n">
        <f aca="false">MIN(AD87,MAX(0,N(Debts!$E$9)))</f>
        <v>0</v>
      </c>
      <c r="AO87" s="56" t="n">
        <f aca="false">MIN(AE87,MAX(0,N(Debts!$E$10)))</f>
        <v>0</v>
      </c>
      <c r="AP87" s="56" t="n">
        <f aca="false">MIN(AF87,MAX(0,N(Debts!$E$11)))</f>
        <v>0</v>
      </c>
      <c r="AQ87" s="56" t="n">
        <f aca="false">MIN(AG87,MAX(0,N(Debts!$E$12)))</f>
        <v>0</v>
      </c>
      <c r="AR87" s="56" t="n">
        <f aca="false">MIN(AH87,MAX(0,N(Debts!$E$13)))</f>
        <v>0</v>
      </c>
      <c r="AS87" s="56" t="n">
        <f aca="false">MIN(AI87,MAX(0,N(Debts!$E$14)))</f>
        <v>0</v>
      </c>
    </row>
    <row r="88" customFormat="false" ht="15" hidden="false" customHeight="false" outlineLevel="0" collapsed="false">
      <c r="A88" s="53" t="n">
        <v>84</v>
      </c>
      <c r="B88" s="54" t="n">
        <f aca="false">EDATE('Start Here'!$B$8,83)</f>
        <v>48853</v>
      </c>
      <c r="C88" s="42" t="n">
        <f aca="false">SUM(F88:O88)</f>
        <v>0</v>
      </c>
      <c r="D88" s="42" t="n">
        <f aca="false">ROUND(SUM($Z88:$AI88)-SUM(P87:Y87),2)</f>
        <v>0</v>
      </c>
      <c r="E88" s="55" t="n">
        <f aca="false">SUM(P88:Y88)</f>
        <v>0</v>
      </c>
      <c r="F88" s="42" t="n">
        <f aca="false">AJ88+MIN(Z88-AJ88,MAX(0,'Start Here'!$B$10-SUM($AJ88:$AS88)-SUMPRODUCT(($Z$3:$AI$3&lt;Z$3)*($Z88:$AI88-$AJ88:$AS88))))</f>
        <v>0</v>
      </c>
      <c r="G88" s="42" t="n">
        <f aca="false">AK88+MIN(AA88-AK88,MAX(0,'Start Here'!$B$10-SUM($AJ88:$AS88)-SUMPRODUCT(($Z$3:$AI$3&lt;AA$3)*($Z88:$AI88-$AJ88:$AS88))))</f>
        <v>0</v>
      </c>
      <c r="H88" s="42" t="n">
        <f aca="false">AL88+MIN(AB88-AL88,MAX(0,'Start Here'!$B$10-SUM($AJ88:$AS88)-SUMPRODUCT(($Z$3:$AI$3&lt;AB$3)*($Z88:$AI88-$AJ88:$AS88))))</f>
        <v>0</v>
      </c>
      <c r="I88" s="42" t="n">
        <f aca="false">AM88+MIN(AC88-AM88,MAX(0,'Start Here'!$B$10-SUM($AJ88:$AS88)-SUMPRODUCT(($Z$3:$AI$3&lt;AC$3)*($Z88:$AI88-$AJ88:$AS88))))</f>
        <v>0</v>
      </c>
      <c r="J88" s="42" t="n">
        <f aca="false">AN88+MIN(AD88-AN88,MAX(0,'Start Here'!$B$10-SUM($AJ88:$AS88)-SUMPRODUCT(($Z$3:$AI$3&lt;AD$3)*($Z88:$AI88-$AJ88:$AS88))))</f>
        <v>0</v>
      </c>
      <c r="K88" s="42" t="n">
        <f aca="false">AO88+MIN(AE88-AO88,MAX(0,'Start Here'!$B$10-SUM($AJ88:$AS88)-SUMPRODUCT(($Z$3:$AI$3&lt;AE$3)*($Z88:$AI88-$AJ88:$AS88))))</f>
        <v>0</v>
      </c>
      <c r="L88" s="42" t="n">
        <f aca="false">AP88+MIN(AF88-AP88,MAX(0,'Start Here'!$B$10-SUM($AJ88:$AS88)-SUMPRODUCT(($Z$3:$AI$3&lt;AF$3)*($Z88:$AI88-$AJ88:$AS88))))</f>
        <v>0</v>
      </c>
      <c r="M88" s="42" t="n">
        <f aca="false">AQ88+MIN(AG88-AQ88,MAX(0,'Start Here'!$B$10-SUM($AJ88:$AS88)-SUMPRODUCT(($Z$3:$AI$3&lt;AG$3)*($Z88:$AI88-$AJ88:$AS88))))</f>
        <v>0</v>
      </c>
      <c r="N88" s="42" t="n">
        <f aca="false">AR88+MIN(AH88-AR88,MAX(0,'Start Here'!$B$10-SUM($AJ88:$AS88)-SUMPRODUCT(($Z$3:$AI$3&lt;AH$3)*($Z88:$AI88-$AJ88:$AS88))))</f>
        <v>0</v>
      </c>
      <c r="O88" s="42" t="n">
        <f aca="false">AS88+MIN(AI88-AS88,MAX(0,'Start Here'!$B$10-SUM($AJ88:$AS88)-SUMPRODUCT(($Z$3:$AI$3&lt;AI$3)*($Z88:$AI88-$AJ88:$AS88))))</f>
        <v>0</v>
      </c>
      <c r="P88" s="42" t="n">
        <f aca="false">ROUND(Z88-F88,2)</f>
        <v>0</v>
      </c>
      <c r="Q88" s="42" t="n">
        <f aca="false">ROUND(AA88-G88,2)</f>
        <v>0</v>
      </c>
      <c r="R88" s="42" t="n">
        <f aca="false">ROUND(AB88-H88,2)</f>
        <v>0</v>
      </c>
      <c r="S88" s="42" t="n">
        <f aca="false">ROUND(AC88-I88,2)</f>
        <v>0</v>
      </c>
      <c r="T88" s="42" t="n">
        <f aca="false">ROUND(AD88-J88,2)</f>
        <v>0</v>
      </c>
      <c r="U88" s="42" t="n">
        <f aca="false">ROUND(AE88-K88,2)</f>
        <v>0</v>
      </c>
      <c r="V88" s="42" t="n">
        <f aca="false">ROUND(AF88-L88,2)</f>
        <v>0</v>
      </c>
      <c r="W88" s="42" t="n">
        <f aca="false">ROUND(AG88-M88,2)</f>
        <v>0</v>
      </c>
      <c r="X88" s="42" t="n">
        <f aca="false">ROUND(AH88-N88,2)</f>
        <v>0</v>
      </c>
      <c r="Y88" s="42" t="n">
        <f aca="false">ROUND(AI88-O88,2)</f>
        <v>0</v>
      </c>
      <c r="Z88" s="56" t="n">
        <f aca="false">ROUND(P87*(1+N(Debts!$D$5)/12),2)</f>
        <v>0</v>
      </c>
      <c r="AA88" s="56" t="n">
        <f aca="false">ROUND(Q87*(1+N(Debts!$D$6)/12),2)</f>
        <v>0</v>
      </c>
      <c r="AB88" s="56" t="n">
        <f aca="false">ROUND(R87*(1+N(Debts!$D$7)/12),2)</f>
        <v>0</v>
      </c>
      <c r="AC88" s="56" t="n">
        <f aca="false">ROUND(S87*(1+N(Debts!$D$8)/12),2)</f>
        <v>0</v>
      </c>
      <c r="AD88" s="56" t="n">
        <f aca="false">ROUND(T87*(1+N(Debts!$D$9)/12),2)</f>
        <v>0</v>
      </c>
      <c r="AE88" s="56" t="n">
        <f aca="false">ROUND(U87*(1+N(Debts!$D$10)/12),2)</f>
        <v>0</v>
      </c>
      <c r="AF88" s="56" t="n">
        <f aca="false">ROUND(V87*(1+N(Debts!$D$11)/12),2)</f>
        <v>0</v>
      </c>
      <c r="AG88" s="56" t="n">
        <f aca="false">ROUND(W87*(1+N(Debts!$D$12)/12),2)</f>
        <v>0</v>
      </c>
      <c r="AH88" s="56" t="n">
        <f aca="false">ROUND(X87*(1+N(Debts!$D$13)/12),2)</f>
        <v>0</v>
      </c>
      <c r="AI88" s="56" t="n">
        <f aca="false">ROUND(Y87*(1+N(Debts!$D$14)/12),2)</f>
        <v>0</v>
      </c>
      <c r="AJ88" s="56" t="n">
        <f aca="false">MIN(Z88,MAX(0,N(Debts!$E$5)))</f>
        <v>0</v>
      </c>
      <c r="AK88" s="56" t="n">
        <f aca="false">MIN(AA88,MAX(0,N(Debts!$E$6)))</f>
        <v>0</v>
      </c>
      <c r="AL88" s="56" t="n">
        <f aca="false">MIN(AB88,MAX(0,N(Debts!$E$7)))</f>
        <v>0</v>
      </c>
      <c r="AM88" s="56" t="n">
        <f aca="false">MIN(AC88,MAX(0,N(Debts!$E$8)))</f>
        <v>0</v>
      </c>
      <c r="AN88" s="56" t="n">
        <f aca="false">MIN(AD88,MAX(0,N(Debts!$E$9)))</f>
        <v>0</v>
      </c>
      <c r="AO88" s="56" t="n">
        <f aca="false">MIN(AE88,MAX(0,N(Debts!$E$10)))</f>
        <v>0</v>
      </c>
      <c r="AP88" s="56" t="n">
        <f aca="false">MIN(AF88,MAX(0,N(Debts!$E$11)))</f>
        <v>0</v>
      </c>
      <c r="AQ88" s="56" t="n">
        <f aca="false">MIN(AG88,MAX(0,N(Debts!$E$12)))</f>
        <v>0</v>
      </c>
      <c r="AR88" s="56" t="n">
        <f aca="false">MIN(AH88,MAX(0,N(Debts!$E$13)))</f>
        <v>0</v>
      </c>
      <c r="AS88" s="56" t="n">
        <f aca="false">MIN(AI88,MAX(0,N(Debts!$E$14)))</f>
        <v>0</v>
      </c>
    </row>
    <row r="89" customFormat="false" ht="15" hidden="false" customHeight="false" outlineLevel="0" collapsed="false">
      <c r="A89" s="53" t="n">
        <v>85</v>
      </c>
      <c r="B89" s="54" t="n">
        <f aca="false">EDATE('Start Here'!$B$8,84)</f>
        <v>48884</v>
      </c>
      <c r="C89" s="42" t="n">
        <f aca="false">SUM(F89:O89)</f>
        <v>0</v>
      </c>
      <c r="D89" s="42" t="n">
        <f aca="false">ROUND(SUM($Z89:$AI89)-SUM(P88:Y88),2)</f>
        <v>0</v>
      </c>
      <c r="E89" s="55" t="n">
        <f aca="false">SUM(P89:Y89)</f>
        <v>0</v>
      </c>
      <c r="F89" s="42" t="n">
        <f aca="false">AJ89+MIN(Z89-AJ89,MAX(0,'Start Here'!$B$10-SUM($AJ89:$AS89)-SUMPRODUCT(($Z$3:$AI$3&lt;Z$3)*($Z89:$AI89-$AJ89:$AS89))))</f>
        <v>0</v>
      </c>
      <c r="G89" s="42" t="n">
        <f aca="false">AK89+MIN(AA89-AK89,MAX(0,'Start Here'!$B$10-SUM($AJ89:$AS89)-SUMPRODUCT(($Z$3:$AI$3&lt;AA$3)*($Z89:$AI89-$AJ89:$AS89))))</f>
        <v>0</v>
      </c>
      <c r="H89" s="42" t="n">
        <f aca="false">AL89+MIN(AB89-AL89,MAX(0,'Start Here'!$B$10-SUM($AJ89:$AS89)-SUMPRODUCT(($Z$3:$AI$3&lt;AB$3)*($Z89:$AI89-$AJ89:$AS89))))</f>
        <v>0</v>
      </c>
      <c r="I89" s="42" t="n">
        <f aca="false">AM89+MIN(AC89-AM89,MAX(0,'Start Here'!$B$10-SUM($AJ89:$AS89)-SUMPRODUCT(($Z$3:$AI$3&lt;AC$3)*($Z89:$AI89-$AJ89:$AS89))))</f>
        <v>0</v>
      </c>
      <c r="J89" s="42" t="n">
        <f aca="false">AN89+MIN(AD89-AN89,MAX(0,'Start Here'!$B$10-SUM($AJ89:$AS89)-SUMPRODUCT(($Z$3:$AI$3&lt;AD$3)*($Z89:$AI89-$AJ89:$AS89))))</f>
        <v>0</v>
      </c>
      <c r="K89" s="42" t="n">
        <f aca="false">AO89+MIN(AE89-AO89,MAX(0,'Start Here'!$B$10-SUM($AJ89:$AS89)-SUMPRODUCT(($Z$3:$AI$3&lt;AE$3)*($Z89:$AI89-$AJ89:$AS89))))</f>
        <v>0</v>
      </c>
      <c r="L89" s="42" t="n">
        <f aca="false">AP89+MIN(AF89-AP89,MAX(0,'Start Here'!$B$10-SUM($AJ89:$AS89)-SUMPRODUCT(($Z$3:$AI$3&lt;AF$3)*($Z89:$AI89-$AJ89:$AS89))))</f>
        <v>0</v>
      </c>
      <c r="M89" s="42" t="n">
        <f aca="false">AQ89+MIN(AG89-AQ89,MAX(0,'Start Here'!$B$10-SUM($AJ89:$AS89)-SUMPRODUCT(($Z$3:$AI$3&lt;AG$3)*($Z89:$AI89-$AJ89:$AS89))))</f>
        <v>0</v>
      </c>
      <c r="N89" s="42" t="n">
        <f aca="false">AR89+MIN(AH89-AR89,MAX(0,'Start Here'!$B$10-SUM($AJ89:$AS89)-SUMPRODUCT(($Z$3:$AI$3&lt;AH$3)*($Z89:$AI89-$AJ89:$AS89))))</f>
        <v>0</v>
      </c>
      <c r="O89" s="42" t="n">
        <f aca="false">AS89+MIN(AI89-AS89,MAX(0,'Start Here'!$B$10-SUM($AJ89:$AS89)-SUMPRODUCT(($Z$3:$AI$3&lt;AI$3)*($Z89:$AI89-$AJ89:$AS89))))</f>
        <v>0</v>
      </c>
      <c r="P89" s="42" t="n">
        <f aca="false">ROUND(Z89-F89,2)</f>
        <v>0</v>
      </c>
      <c r="Q89" s="42" t="n">
        <f aca="false">ROUND(AA89-G89,2)</f>
        <v>0</v>
      </c>
      <c r="R89" s="42" t="n">
        <f aca="false">ROUND(AB89-H89,2)</f>
        <v>0</v>
      </c>
      <c r="S89" s="42" t="n">
        <f aca="false">ROUND(AC89-I89,2)</f>
        <v>0</v>
      </c>
      <c r="T89" s="42" t="n">
        <f aca="false">ROUND(AD89-J89,2)</f>
        <v>0</v>
      </c>
      <c r="U89" s="42" t="n">
        <f aca="false">ROUND(AE89-K89,2)</f>
        <v>0</v>
      </c>
      <c r="V89" s="42" t="n">
        <f aca="false">ROUND(AF89-L89,2)</f>
        <v>0</v>
      </c>
      <c r="W89" s="42" t="n">
        <f aca="false">ROUND(AG89-M89,2)</f>
        <v>0</v>
      </c>
      <c r="X89" s="42" t="n">
        <f aca="false">ROUND(AH89-N89,2)</f>
        <v>0</v>
      </c>
      <c r="Y89" s="42" t="n">
        <f aca="false">ROUND(AI89-O89,2)</f>
        <v>0</v>
      </c>
      <c r="Z89" s="56" t="n">
        <f aca="false">ROUND(P88*(1+N(Debts!$D$5)/12),2)</f>
        <v>0</v>
      </c>
      <c r="AA89" s="56" t="n">
        <f aca="false">ROUND(Q88*(1+N(Debts!$D$6)/12),2)</f>
        <v>0</v>
      </c>
      <c r="AB89" s="56" t="n">
        <f aca="false">ROUND(R88*(1+N(Debts!$D$7)/12),2)</f>
        <v>0</v>
      </c>
      <c r="AC89" s="56" t="n">
        <f aca="false">ROUND(S88*(1+N(Debts!$D$8)/12),2)</f>
        <v>0</v>
      </c>
      <c r="AD89" s="56" t="n">
        <f aca="false">ROUND(T88*(1+N(Debts!$D$9)/12),2)</f>
        <v>0</v>
      </c>
      <c r="AE89" s="56" t="n">
        <f aca="false">ROUND(U88*(1+N(Debts!$D$10)/12),2)</f>
        <v>0</v>
      </c>
      <c r="AF89" s="56" t="n">
        <f aca="false">ROUND(V88*(1+N(Debts!$D$11)/12),2)</f>
        <v>0</v>
      </c>
      <c r="AG89" s="56" t="n">
        <f aca="false">ROUND(W88*(1+N(Debts!$D$12)/12),2)</f>
        <v>0</v>
      </c>
      <c r="AH89" s="56" t="n">
        <f aca="false">ROUND(X88*(1+N(Debts!$D$13)/12),2)</f>
        <v>0</v>
      </c>
      <c r="AI89" s="56" t="n">
        <f aca="false">ROUND(Y88*(1+N(Debts!$D$14)/12),2)</f>
        <v>0</v>
      </c>
      <c r="AJ89" s="56" t="n">
        <f aca="false">MIN(Z89,MAX(0,N(Debts!$E$5)))</f>
        <v>0</v>
      </c>
      <c r="AK89" s="56" t="n">
        <f aca="false">MIN(AA89,MAX(0,N(Debts!$E$6)))</f>
        <v>0</v>
      </c>
      <c r="AL89" s="56" t="n">
        <f aca="false">MIN(AB89,MAX(0,N(Debts!$E$7)))</f>
        <v>0</v>
      </c>
      <c r="AM89" s="56" t="n">
        <f aca="false">MIN(AC89,MAX(0,N(Debts!$E$8)))</f>
        <v>0</v>
      </c>
      <c r="AN89" s="56" t="n">
        <f aca="false">MIN(AD89,MAX(0,N(Debts!$E$9)))</f>
        <v>0</v>
      </c>
      <c r="AO89" s="56" t="n">
        <f aca="false">MIN(AE89,MAX(0,N(Debts!$E$10)))</f>
        <v>0</v>
      </c>
      <c r="AP89" s="56" t="n">
        <f aca="false">MIN(AF89,MAX(0,N(Debts!$E$11)))</f>
        <v>0</v>
      </c>
      <c r="AQ89" s="56" t="n">
        <f aca="false">MIN(AG89,MAX(0,N(Debts!$E$12)))</f>
        <v>0</v>
      </c>
      <c r="AR89" s="56" t="n">
        <f aca="false">MIN(AH89,MAX(0,N(Debts!$E$13)))</f>
        <v>0</v>
      </c>
      <c r="AS89" s="56" t="n">
        <f aca="false">MIN(AI89,MAX(0,N(Debts!$E$14)))</f>
        <v>0</v>
      </c>
    </row>
    <row r="90" customFormat="false" ht="15" hidden="false" customHeight="false" outlineLevel="0" collapsed="false">
      <c r="A90" s="53" t="n">
        <v>86</v>
      </c>
      <c r="B90" s="54" t="n">
        <f aca="false">EDATE('Start Here'!$B$8,85)</f>
        <v>48914</v>
      </c>
      <c r="C90" s="42" t="n">
        <f aca="false">SUM(F90:O90)</f>
        <v>0</v>
      </c>
      <c r="D90" s="42" t="n">
        <f aca="false">ROUND(SUM($Z90:$AI90)-SUM(P89:Y89),2)</f>
        <v>0</v>
      </c>
      <c r="E90" s="55" t="n">
        <f aca="false">SUM(P90:Y90)</f>
        <v>0</v>
      </c>
      <c r="F90" s="42" t="n">
        <f aca="false">AJ90+MIN(Z90-AJ90,MAX(0,'Start Here'!$B$10-SUM($AJ90:$AS90)-SUMPRODUCT(($Z$3:$AI$3&lt;Z$3)*($Z90:$AI90-$AJ90:$AS90))))</f>
        <v>0</v>
      </c>
      <c r="G90" s="42" t="n">
        <f aca="false">AK90+MIN(AA90-AK90,MAX(0,'Start Here'!$B$10-SUM($AJ90:$AS90)-SUMPRODUCT(($Z$3:$AI$3&lt;AA$3)*($Z90:$AI90-$AJ90:$AS90))))</f>
        <v>0</v>
      </c>
      <c r="H90" s="42" t="n">
        <f aca="false">AL90+MIN(AB90-AL90,MAX(0,'Start Here'!$B$10-SUM($AJ90:$AS90)-SUMPRODUCT(($Z$3:$AI$3&lt;AB$3)*($Z90:$AI90-$AJ90:$AS90))))</f>
        <v>0</v>
      </c>
      <c r="I90" s="42" t="n">
        <f aca="false">AM90+MIN(AC90-AM90,MAX(0,'Start Here'!$B$10-SUM($AJ90:$AS90)-SUMPRODUCT(($Z$3:$AI$3&lt;AC$3)*($Z90:$AI90-$AJ90:$AS90))))</f>
        <v>0</v>
      </c>
      <c r="J90" s="42" t="n">
        <f aca="false">AN90+MIN(AD90-AN90,MAX(0,'Start Here'!$B$10-SUM($AJ90:$AS90)-SUMPRODUCT(($Z$3:$AI$3&lt;AD$3)*($Z90:$AI90-$AJ90:$AS90))))</f>
        <v>0</v>
      </c>
      <c r="K90" s="42" t="n">
        <f aca="false">AO90+MIN(AE90-AO90,MAX(0,'Start Here'!$B$10-SUM($AJ90:$AS90)-SUMPRODUCT(($Z$3:$AI$3&lt;AE$3)*($Z90:$AI90-$AJ90:$AS90))))</f>
        <v>0</v>
      </c>
      <c r="L90" s="42" t="n">
        <f aca="false">AP90+MIN(AF90-AP90,MAX(0,'Start Here'!$B$10-SUM($AJ90:$AS90)-SUMPRODUCT(($Z$3:$AI$3&lt;AF$3)*($Z90:$AI90-$AJ90:$AS90))))</f>
        <v>0</v>
      </c>
      <c r="M90" s="42" t="n">
        <f aca="false">AQ90+MIN(AG90-AQ90,MAX(0,'Start Here'!$B$10-SUM($AJ90:$AS90)-SUMPRODUCT(($Z$3:$AI$3&lt;AG$3)*($Z90:$AI90-$AJ90:$AS90))))</f>
        <v>0</v>
      </c>
      <c r="N90" s="42" t="n">
        <f aca="false">AR90+MIN(AH90-AR90,MAX(0,'Start Here'!$B$10-SUM($AJ90:$AS90)-SUMPRODUCT(($Z$3:$AI$3&lt;AH$3)*($Z90:$AI90-$AJ90:$AS90))))</f>
        <v>0</v>
      </c>
      <c r="O90" s="42" t="n">
        <f aca="false">AS90+MIN(AI90-AS90,MAX(0,'Start Here'!$B$10-SUM($AJ90:$AS90)-SUMPRODUCT(($Z$3:$AI$3&lt;AI$3)*($Z90:$AI90-$AJ90:$AS90))))</f>
        <v>0</v>
      </c>
      <c r="P90" s="42" t="n">
        <f aca="false">ROUND(Z90-F90,2)</f>
        <v>0</v>
      </c>
      <c r="Q90" s="42" t="n">
        <f aca="false">ROUND(AA90-G90,2)</f>
        <v>0</v>
      </c>
      <c r="R90" s="42" t="n">
        <f aca="false">ROUND(AB90-H90,2)</f>
        <v>0</v>
      </c>
      <c r="S90" s="42" t="n">
        <f aca="false">ROUND(AC90-I90,2)</f>
        <v>0</v>
      </c>
      <c r="T90" s="42" t="n">
        <f aca="false">ROUND(AD90-J90,2)</f>
        <v>0</v>
      </c>
      <c r="U90" s="42" t="n">
        <f aca="false">ROUND(AE90-K90,2)</f>
        <v>0</v>
      </c>
      <c r="V90" s="42" t="n">
        <f aca="false">ROUND(AF90-L90,2)</f>
        <v>0</v>
      </c>
      <c r="W90" s="42" t="n">
        <f aca="false">ROUND(AG90-M90,2)</f>
        <v>0</v>
      </c>
      <c r="X90" s="42" t="n">
        <f aca="false">ROUND(AH90-N90,2)</f>
        <v>0</v>
      </c>
      <c r="Y90" s="42" t="n">
        <f aca="false">ROUND(AI90-O90,2)</f>
        <v>0</v>
      </c>
      <c r="Z90" s="56" t="n">
        <f aca="false">ROUND(P89*(1+N(Debts!$D$5)/12),2)</f>
        <v>0</v>
      </c>
      <c r="AA90" s="56" t="n">
        <f aca="false">ROUND(Q89*(1+N(Debts!$D$6)/12),2)</f>
        <v>0</v>
      </c>
      <c r="AB90" s="56" t="n">
        <f aca="false">ROUND(R89*(1+N(Debts!$D$7)/12),2)</f>
        <v>0</v>
      </c>
      <c r="AC90" s="56" t="n">
        <f aca="false">ROUND(S89*(1+N(Debts!$D$8)/12),2)</f>
        <v>0</v>
      </c>
      <c r="AD90" s="56" t="n">
        <f aca="false">ROUND(T89*(1+N(Debts!$D$9)/12),2)</f>
        <v>0</v>
      </c>
      <c r="AE90" s="56" t="n">
        <f aca="false">ROUND(U89*(1+N(Debts!$D$10)/12),2)</f>
        <v>0</v>
      </c>
      <c r="AF90" s="56" t="n">
        <f aca="false">ROUND(V89*(1+N(Debts!$D$11)/12),2)</f>
        <v>0</v>
      </c>
      <c r="AG90" s="56" t="n">
        <f aca="false">ROUND(W89*(1+N(Debts!$D$12)/12),2)</f>
        <v>0</v>
      </c>
      <c r="AH90" s="56" t="n">
        <f aca="false">ROUND(X89*(1+N(Debts!$D$13)/12),2)</f>
        <v>0</v>
      </c>
      <c r="AI90" s="56" t="n">
        <f aca="false">ROUND(Y89*(1+N(Debts!$D$14)/12),2)</f>
        <v>0</v>
      </c>
      <c r="AJ90" s="56" t="n">
        <f aca="false">MIN(Z90,MAX(0,N(Debts!$E$5)))</f>
        <v>0</v>
      </c>
      <c r="AK90" s="56" t="n">
        <f aca="false">MIN(AA90,MAX(0,N(Debts!$E$6)))</f>
        <v>0</v>
      </c>
      <c r="AL90" s="56" t="n">
        <f aca="false">MIN(AB90,MAX(0,N(Debts!$E$7)))</f>
        <v>0</v>
      </c>
      <c r="AM90" s="56" t="n">
        <f aca="false">MIN(AC90,MAX(0,N(Debts!$E$8)))</f>
        <v>0</v>
      </c>
      <c r="AN90" s="56" t="n">
        <f aca="false">MIN(AD90,MAX(0,N(Debts!$E$9)))</f>
        <v>0</v>
      </c>
      <c r="AO90" s="56" t="n">
        <f aca="false">MIN(AE90,MAX(0,N(Debts!$E$10)))</f>
        <v>0</v>
      </c>
      <c r="AP90" s="56" t="n">
        <f aca="false">MIN(AF90,MAX(0,N(Debts!$E$11)))</f>
        <v>0</v>
      </c>
      <c r="AQ90" s="56" t="n">
        <f aca="false">MIN(AG90,MAX(0,N(Debts!$E$12)))</f>
        <v>0</v>
      </c>
      <c r="AR90" s="56" t="n">
        <f aca="false">MIN(AH90,MAX(0,N(Debts!$E$13)))</f>
        <v>0</v>
      </c>
      <c r="AS90" s="56" t="n">
        <f aca="false">MIN(AI90,MAX(0,N(Debts!$E$14)))</f>
        <v>0</v>
      </c>
    </row>
    <row r="91" customFormat="false" ht="15" hidden="false" customHeight="false" outlineLevel="0" collapsed="false">
      <c r="A91" s="53" t="n">
        <v>87</v>
      </c>
      <c r="B91" s="54" t="n">
        <f aca="false">EDATE('Start Here'!$B$8,86)</f>
        <v>48945</v>
      </c>
      <c r="C91" s="42" t="n">
        <f aca="false">SUM(F91:O91)</f>
        <v>0</v>
      </c>
      <c r="D91" s="42" t="n">
        <f aca="false">ROUND(SUM($Z91:$AI91)-SUM(P90:Y90),2)</f>
        <v>0</v>
      </c>
      <c r="E91" s="55" t="n">
        <f aca="false">SUM(P91:Y91)</f>
        <v>0</v>
      </c>
      <c r="F91" s="42" t="n">
        <f aca="false">AJ91+MIN(Z91-AJ91,MAX(0,'Start Here'!$B$10-SUM($AJ91:$AS91)-SUMPRODUCT(($Z$3:$AI$3&lt;Z$3)*($Z91:$AI91-$AJ91:$AS91))))</f>
        <v>0</v>
      </c>
      <c r="G91" s="42" t="n">
        <f aca="false">AK91+MIN(AA91-AK91,MAX(0,'Start Here'!$B$10-SUM($AJ91:$AS91)-SUMPRODUCT(($Z$3:$AI$3&lt;AA$3)*($Z91:$AI91-$AJ91:$AS91))))</f>
        <v>0</v>
      </c>
      <c r="H91" s="42" t="n">
        <f aca="false">AL91+MIN(AB91-AL91,MAX(0,'Start Here'!$B$10-SUM($AJ91:$AS91)-SUMPRODUCT(($Z$3:$AI$3&lt;AB$3)*($Z91:$AI91-$AJ91:$AS91))))</f>
        <v>0</v>
      </c>
      <c r="I91" s="42" t="n">
        <f aca="false">AM91+MIN(AC91-AM91,MAX(0,'Start Here'!$B$10-SUM($AJ91:$AS91)-SUMPRODUCT(($Z$3:$AI$3&lt;AC$3)*($Z91:$AI91-$AJ91:$AS91))))</f>
        <v>0</v>
      </c>
      <c r="J91" s="42" t="n">
        <f aca="false">AN91+MIN(AD91-AN91,MAX(0,'Start Here'!$B$10-SUM($AJ91:$AS91)-SUMPRODUCT(($Z$3:$AI$3&lt;AD$3)*($Z91:$AI91-$AJ91:$AS91))))</f>
        <v>0</v>
      </c>
      <c r="K91" s="42" t="n">
        <f aca="false">AO91+MIN(AE91-AO91,MAX(0,'Start Here'!$B$10-SUM($AJ91:$AS91)-SUMPRODUCT(($Z$3:$AI$3&lt;AE$3)*($Z91:$AI91-$AJ91:$AS91))))</f>
        <v>0</v>
      </c>
      <c r="L91" s="42" t="n">
        <f aca="false">AP91+MIN(AF91-AP91,MAX(0,'Start Here'!$B$10-SUM($AJ91:$AS91)-SUMPRODUCT(($Z$3:$AI$3&lt;AF$3)*($Z91:$AI91-$AJ91:$AS91))))</f>
        <v>0</v>
      </c>
      <c r="M91" s="42" t="n">
        <f aca="false">AQ91+MIN(AG91-AQ91,MAX(0,'Start Here'!$B$10-SUM($AJ91:$AS91)-SUMPRODUCT(($Z$3:$AI$3&lt;AG$3)*($Z91:$AI91-$AJ91:$AS91))))</f>
        <v>0</v>
      </c>
      <c r="N91" s="42" t="n">
        <f aca="false">AR91+MIN(AH91-AR91,MAX(0,'Start Here'!$B$10-SUM($AJ91:$AS91)-SUMPRODUCT(($Z$3:$AI$3&lt;AH$3)*($Z91:$AI91-$AJ91:$AS91))))</f>
        <v>0</v>
      </c>
      <c r="O91" s="42" t="n">
        <f aca="false">AS91+MIN(AI91-AS91,MAX(0,'Start Here'!$B$10-SUM($AJ91:$AS91)-SUMPRODUCT(($Z$3:$AI$3&lt;AI$3)*($Z91:$AI91-$AJ91:$AS91))))</f>
        <v>0</v>
      </c>
      <c r="P91" s="42" t="n">
        <f aca="false">ROUND(Z91-F91,2)</f>
        <v>0</v>
      </c>
      <c r="Q91" s="42" t="n">
        <f aca="false">ROUND(AA91-G91,2)</f>
        <v>0</v>
      </c>
      <c r="R91" s="42" t="n">
        <f aca="false">ROUND(AB91-H91,2)</f>
        <v>0</v>
      </c>
      <c r="S91" s="42" t="n">
        <f aca="false">ROUND(AC91-I91,2)</f>
        <v>0</v>
      </c>
      <c r="T91" s="42" t="n">
        <f aca="false">ROUND(AD91-J91,2)</f>
        <v>0</v>
      </c>
      <c r="U91" s="42" t="n">
        <f aca="false">ROUND(AE91-K91,2)</f>
        <v>0</v>
      </c>
      <c r="V91" s="42" t="n">
        <f aca="false">ROUND(AF91-L91,2)</f>
        <v>0</v>
      </c>
      <c r="W91" s="42" t="n">
        <f aca="false">ROUND(AG91-M91,2)</f>
        <v>0</v>
      </c>
      <c r="X91" s="42" t="n">
        <f aca="false">ROUND(AH91-N91,2)</f>
        <v>0</v>
      </c>
      <c r="Y91" s="42" t="n">
        <f aca="false">ROUND(AI91-O91,2)</f>
        <v>0</v>
      </c>
      <c r="Z91" s="56" t="n">
        <f aca="false">ROUND(P90*(1+N(Debts!$D$5)/12),2)</f>
        <v>0</v>
      </c>
      <c r="AA91" s="56" t="n">
        <f aca="false">ROUND(Q90*(1+N(Debts!$D$6)/12),2)</f>
        <v>0</v>
      </c>
      <c r="AB91" s="56" t="n">
        <f aca="false">ROUND(R90*(1+N(Debts!$D$7)/12),2)</f>
        <v>0</v>
      </c>
      <c r="AC91" s="56" t="n">
        <f aca="false">ROUND(S90*(1+N(Debts!$D$8)/12),2)</f>
        <v>0</v>
      </c>
      <c r="AD91" s="56" t="n">
        <f aca="false">ROUND(T90*(1+N(Debts!$D$9)/12),2)</f>
        <v>0</v>
      </c>
      <c r="AE91" s="56" t="n">
        <f aca="false">ROUND(U90*(1+N(Debts!$D$10)/12),2)</f>
        <v>0</v>
      </c>
      <c r="AF91" s="56" t="n">
        <f aca="false">ROUND(V90*(1+N(Debts!$D$11)/12),2)</f>
        <v>0</v>
      </c>
      <c r="AG91" s="56" t="n">
        <f aca="false">ROUND(W90*(1+N(Debts!$D$12)/12),2)</f>
        <v>0</v>
      </c>
      <c r="AH91" s="56" t="n">
        <f aca="false">ROUND(X90*(1+N(Debts!$D$13)/12),2)</f>
        <v>0</v>
      </c>
      <c r="AI91" s="56" t="n">
        <f aca="false">ROUND(Y90*(1+N(Debts!$D$14)/12),2)</f>
        <v>0</v>
      </c>
      <c r="AJ91" s="56" t="n">
        <f aca="false">MIN(Z91,MAX(0,N(Debts!$E$5)))</f>
        <v>0</v>
      </c>
      <c r="AK91" s="56" t="n">
        <f aca="false">MIN(AA91,MAX(0,N(Debts!$E$6)))</f>
        <v>0</v>
      </c>
      <c r="AL91" s="56" t="n">
        <f aca="false">MIN(AB91,MAX(0,N(Debts!$E$7)))</f>
        <v>0</v>
      </c>
      <c r="AM91" s="56" t="n">
        <f aca="false">MIN(AC91,MAX(0,N(Debts!$E$8)))</f>
        <v>0</v>
      </c>
      <c r="AN91" s="56" t="n">
        <f aca="false">MIN(AD91,MAX(0,N(Debts!$E$9)))</f>
        <v>0</v>
      </c>
      <c r="AO91" s="56" t="n">
        <f aca="false">MIN(AE91,MAX(0,N(Debts!$E$10)))</f>
        <v>0</v>
      </c>
      <c r="AP91" s="56" t="n">
        <f aca="false">MIN(AF91,MAX(0,N(Debts!$E$11)))</f>
        <v>0</v>
      </c>
      <c r="AQ91" s="56" t="n">
        <f aca="false">MIN(AG91,MAX(0,N(Debts!$E$12)))</f>
        <v>0</v>
      </c>
      <c r="AR91" s="56" t="n">
        <f aca="false">MIN(AH91,MAX(0,N(Debts!$E$13)))</f>
        <v>0</v>
      </c>
      <c r="AS91" s="56" t="n">
        <f aca="false">MIN(AI91,MAX(0,N(Debts!$E$14)))</f>
        <v>0</v>
      </c>
    </row>
    <row r="92" customFormat="false" ht="15" hidden="false" customHeight="false" outlineLevel="0" collapsed="false">
      <c r="A92" s="53" t="n">
        <v>88</v>
      </c>
      <c r="B92" s="54" t="n">
        <f aca="false">EDATE('Start Here'!$B$8,87)</f>
        <v>48976</v>
      </c>
      <c r="C92" s="42" t="n">
        <f aca="false">SUM(F92:O92)</f>
        <v>0</v>
      </c>
      <c r="D92" s="42" t="n">
        <f aca="false">ROUND(SUM($Z92:$AI92)-SUM(P91:Y91),2)</f>
        <v>0</v>
      </c>
      <c r="E92" s="55" t="n">
        <f aca="false">SUM(P92:Y92)</f>
        <v>0</v>
      </c>
      <c r="F92" s="42" t="n">
        <f aca="false">AJ92+MIN(Z92-AJ92,MAX(0,'Start Here'!$B$10-SUM($AJ92:$AS92)-SUMPRODUCT(($Z$3:$AI$3&lt;Z$3)*($Z92:$AI92-$AJ92:$AS92))))</f>
        <v>0</v>
      </c>
      <c r="G92" s="42" t="n">
        <f aca="false">AK92+MIN(AA92-AK92,MAX(0,'Start Here'!$B$10-SUM($AJ92:$AS92)-SUMPRODUCT(($Z$3:$AI$3&lt;AA$3)*($Z92:$AI92-$AJ92:$AS92))))</f>
        <v>0</v>
      </c>
      <c r="H92" s="42" t="n">
        <f aca="false">AL92+MIN(AB92-AL92,MAX(0,'Start Here'!$B$10-SUM($AJ92:$AS92)-SUMPRODUCT(($Z$3:$AI$3&lt;AB$3)*($Z92:$AI92-$AJ92:$AS92))))</f>
        <v>0</v>
      </c>
      <c r="I92" s="42" t="n">
        <f aca="false">AM92+MIN(AC92-AM92,MAX(0,'Start Here'!$B$10-SUM($AJ92:$AS92)-SUMPRODUCT(($Z$3:$AI$3&lt;AC$3)*($Z92:$AI92-$AJ92:$AS92))))</f>
        <v>0</v>
      </c>
      <c r="J92" s="42" t="n">
        <f aca="false">AN92+MIN(AD92-AN92,MAX(0,'Start Here'!$B$10-SUM($AJ92:$AS92)-SUMPRODUCT(($Z$3:$AI$3&lt;AD$3)*($Z92:$AI92-$AJ92:$AS92))))</f>
        <v>0</v>
      </c>
      <c r="K92" s="42" t="n">
        <f aca="false">AO92+MIN(AE92-AO92,MAX(0,'Start Here'!$B$10-SUM($AJ92:$AS92)-SUMPRODUCT(($Z$3:$AI$3&lt;AE$3)*($Z92:$AI92-$AJ92:$AS92))))</f>
        <v>0</v>
      </c>
      <c r="L92" s="42" t="n">
        <f aca="false">AP92+MIN(AF92-AP92,MAX(0,'Start Here'!$B$10-SUM($AJ92:$AS92)-SUMPRODUCT(($Z$3:$AI$3&lt;AF$3)*($Z92:$AI92-$AJ92:$AS92))))</f>
        <v>0</v>
      </c>
      <c r="M92" s="42" t="n">
        <f aca="false">AQ92+MIN(AG92-AQ92,MAX(0,'Start Here'!$B$10-SUM($AJ92:$AS92)-SUMPRODUCT(($Z$3:$AI$3&lt;AG$3)*($Z92:$AI92-$AJ92:$AS92))))</f>
        <v>0</v>
      </c>
      <c r="N92" s="42" t="n">
        <f aca="false">AR92+MIN(AH92-AR92,MAX(0,'Start Here'!$B$10-SUM($AJ92:$AS92)-SUMPRODUCT(($Z$3:$AI$3&lt;AH$3)*($Z92:$AI92-$AJ92:$AS92))))</f>
        <v>0</v>
      </c>
      <c r="O92" s="42" t="n">
        <f aca="false">AS92+MIN(AI92-AS92,MAX(0,'Start Here'!$B$10-SUM($AJ92:$AS92)-SUMPRODUCT(($Z$3:$AI$3&lt;AI$3)*($Z92:$AI92-$AJ92:$AS92))))</f>
        <v>0</v>
      </c>
      <c r="P92" s="42" t="n">
        <f aca="false">ROUND(Z92-F92,2)</f>
        <v>0</v>
      </c>
      <c r="Q92" s="42" t="n">
        <f aca="false">ROUND(AA92-G92,2)</f>
        <v>0</v>
      </c>
      <c r="R92" s="42" t="n">
        <f aca="false">ROUND(AB92-H92,2)</f>
        <v>0</v>
      </c>
      <c r="S92" s="42" t="n">
        <f aca="false">ROUND(AC92-I92,2)</f>
        <v>0</v>
      </c>
      <c r="T92" s="42" t="n">
        <f aca="false">ROUND(AD92-J92,2)</f>
        <v>0</v>
      </c>
      <c r="U92" s="42" t="n">
        <f aca="false">ROUND(AE92-K92,2)</f>
        <v>0</v>
      </c>
      <c r="V92" s="42" t="n">
        <f aca="false">ROUND(AF92-L92,2)</f>
        <v>0</v>
      </c>
      <c r="W92" s="42" t="n">
        <f aca="false">ROUND(AG92-M92,2)</f>
        <v>0</v>
      </c>
      <c r="X92" s="42" t="n">
        <f aca="false">ROUND(AH92-N92,2)</f>
        <v>0</v>
      </c>
      <c r="Y92" s="42" t="n">
        <f aca="false">ROUND(AI92-O92,2)</f>
        <v>0</v>
      </c>
      <c r="Z92" s="56" t="n">
        <f aca="false">ROUND(P91*(1+N(Debts!$D$5)/12),2)</f>
        <v>0</v>
      </c>
      <c r="AA92" s="56" t="n">
        <f aca="false">ROUND(Q91*(1+N(Debts!$D$6)/12),2)</f>
        <v>0</v>
      </c>
      <c r="AB92" s="56" t="n">
        <f aca="false">ROUND(R91*(1+N(Debts!$D$7)/12),2)</f>
        <v>0</v>
      </c>
      <c r="AC92" s="56" t="n">
        <f aca="false">ROUND(S91*(1+N(Debts!$D$8)/12),2)</f>
        <v>0</v>
      </c>
      <c r="AD92" s="56" t="n">
        <f aca="false">ROUND(T91*(1+N(Debts!$D$9)/12),2)</f>
        <v>0</v>
      </c>
      <c r="AE92" s="56" t="n">
        <f aca="false">ROUND(U91*(1+N(Debts!$D$10)/12),2)</f>
        <v>0</v>
      </c>
      <c r="AF92" s="56" t="n">
        <f aca="false">ROUND(V91*(1+N(Debts!$D$11)/12),2)</f>
        <v>0</v>
      </c>
      <c r="AG92" s="56" t="n">
        <f aca="false">ROUND(W91*(1+N(Debts!$D$12)/12),2)</f>
        <v>0</v>
      </c>
      <c r="AH92" s="56" t="n">
        <f aca="false">ROUND(X91*(1+N(Debts!$D$13)/12),2)</f>
        <v>0</v>
      </c>
      <c r="AI92" s="56" t="n">
        <f aca="false">ROUND(Y91*(1+N(Debts!$D$14)/12),2)</f>
        <v>0</v>
      </c>
      <c r="AJ92" s="56" t="n">
        <f aca="false">MIN(Z92,MAX(0,N(Debts!$E$5)))</f>
        <v>0</v>
      </c>
      <c r="AK92" s="56" t="n">
        <f aca="false">MIN(AA92,MAX(0,N(Debts!$E$6)))</f>
        <v>0</v>
      </c>
      <c r="AL92" s="56" t="n">
        <f aca="false">MIN(AB92,MAX(0,N(Debts!$E$7)))</f>
        <v>0</v>
      </c>
      <c r="AM92" s="56" t="n">
        <f aca="false">MIN(AC92,MAX(0,N(Debts!$E$8)))</f>
        <v>0</v>
      </c>
      <c r="AN92" s="56" t="n">
        <f aca="false">MIN(AD92,MAX(0,N(Debts!$E$9)))</f>
        <v>0</v>
      </c>
      <c r="AO92" s="56" t="n">
        <f aca="false">MIN(AE92,MAX(0,N(Debts!$E$10)))</f>
        <v>0</v>
      </c>
      <c r="AP92" s="56" t="n">
        <f aca="false">MIN(AF92,MAX(0,N(Debts!$E$11)))</f>
        <v>0</v>
      </c>
      <c r="AQ92" s="56" t="n">
        <f aca="false">MIN(AG92,MAX(0,N(Debts!$E$12)))</f>
        <v>0</v>
      </c>
      <c r="AR92" s="56" t="n">
        <f aca="false">MIN(AH92,MAX(0,N(Debts!$E$13)))</f>
        <v>0</v>
      </c>
      <c r="AS92" s="56" t="n">
        <f aca="false">MIN(AI92,MAX(0,N(Debts!$E$14)))</f>
        <v>0</v>
      </c>
    </row>
    <row r="93" customFormat="false" ht="15" hidden="false" customHeight="false" outlineLevel="0" collapsed="false">
      <c r="A93" s="53" t="n">
        <v>89</v>
      </c>
      <c r="B93" s="54" t="n">
        <f aca="false">EDATE('Start Here'!$B$8,88)</f>
        <v>49004</v>
      </c>
      <c r="C93" s="42" t="n">
        <f aca="false">SUM(F93:O93)</f>
        <v>0</v>
      </c>
      <c r="D93" s="42" t="n">
        <f aca="false">ROUND(SUM($Z93:$AI93)-SUM(P92:Y92),2)</f>
        <v>0</v>
      </c>
      <c r="E93" s="55" t="n">
        <f aca="false">SUM(P93:Y93)</f>
        <v>0</v>
      </c>
      <c r="F93" s="42" t="n">
        <f aca="false">AJ93+MIN(Z93-AJ93,MAX(0,'Start Here'!$B$10-SUM($AJ93:$AS93)-SUMPRODUCT(($Z$3:$AI$3&lt;Z$3)*($Z93:$AI93-$AJ93:$AS93))))</f>
        <v>0</v>
      </c>
      <c r="G93" s="42" t="n">
        <f aca="false">AK93+MIN(AA93-AK93,MAX(0,'Start Here'!$B$10-SUM($AJ93:$AS93)-SUMPRODUCT(($Z$3:$AI$3&lt;AA$3)*($Z93:$AI93-$AJ93:$AS93))))</f>
        <v>0</v>
      </c>
      <c r="H93" s="42" t="n">
        <f aca="false">AL93+MIN(AB93-AL93,MAX(0,'Start Here'!$B$10-SUM($AJ93:$AS93)-SUMPRODUCT(($Z$3:$AI$3&lt;AB$3)*($Z93:$AI93-$AJ93:$AS93))))</f>
        <v>0</v>
      </c>
      <c r="I93" s="42" t="n">
        <f aca="false">AM93+MIN(AC93-AM93,MAX(0,'Start Here'!$B$10-SUM($AJ93:$AS93)-SUMPRODUCT(($Z$3:$AI$3&lt;AC$3)*($Z93:$AI93-$AJ93:$AS93))))</f>
        <v>0</v>
      </c>
      <c r="J93" s="42" t="n">
        <f aca="false">AN93+MIN(AD93-AN93,MAX(0,'Start Here'!$B$10-SUM($AJ93:$AS93)-SUMPRODUCT(($Z$3:$AI$3&lt;AD$3)*($Z93:$AI93-$AJ93:$AS93))))</f>
        <v>0</v>
      </c>
      <c r="K93" s="42" t="n">
        <f aca="false">AO93+MIN(AE93-AO93,MAX(0,'Start Here'!$B$10-SUM($AJ93:$AS93)-SUMPRODUCT(($Z$3:$AI$3&lt;AE$3)*($Z93:$AI93-$AJ93:$AS93))))</f>
        <v>0</v>
      </c>
      <c r="L93" s="42" t="n">
        <f aca="false">AP93+MIN(AF93-AP93,MAX(0,'Start Here'!$B$10-SUM($AJ93:$AS93)-SUMPRODUCT(($Z$3:$AI$3&lt;AF$3)*($Z93:$AI93-$AJ93:$AS93))))</f>
        <v>0</v>
      </c>
      <c r="M93" s="42" t="n">
        <f aca="false">AQ93+MIN(AG93-AQ93,MAX(0,'Start Here'!$B$10-SUM($AJ93:$AS93)-SUMPRODUCT(($Z$3:$AI$3&lt;AG$3)*($Z93:$AI93-$AJ93:$AS93))))</f>
        <v>0</v>
      </c>
      <c r="N93" s="42" t="n">
        <f aca="false">AR93+MIN(AH93-AR93,MAX(0,'Start Here'!$B$10-SUM($AJ93:$AS93)-SUMPRODUCT(($Z$3:$AI$3&lt;AH$3)*($Z93:$AI93-$AJ93:$AS93))))</f>
        <v>0</v>
      </c>
      <c r="O93" s="42" t="n">
        <f aca="false">AS93+MIN(AI93-AS93,MAX(0,'Start Here'!$B$10-SUM($AJ93:$AS93)-SUMPRODUCT(($Z$3:$AI$3&lt;AI$3)*($Z93:$AI93-$AJ93:$AS93))))</f>
        <v>0</v>
      </c>
      <c r="P93" s="42" t="n">
        <f aca="false">ROUND(Z93-F93,2)</f>
        <v>0</v>
      </c>
      <c r="Q93" s="42" t="n">
        <f aca="false">ROUND(AA93-G93,2)</f>
        <v>0</v>
      </c>
      <c r="R93" s="42" t="n">
        <f aca="false">ROUND(AB93-H93,2)</f>
        <v>0</v>
      </c>
      <c r="S93" s="42" t="n">
        <f aca="false">ROUND(AC93-I93,2)</f>
        <v>0</v>
      </c>
      <c r="T93" s="42" t="n">
        <f aca="false">ROUND(AD93-J93,2)</f>
        <v>0</v>
      </c>
      <c r="U93" s="42" t="n">
        <f aca="false">ROUND(AE93-K93,2)</f>
        <v>0</v>
      </c>
      <c r="V93" s="42" t="n">
        <f aca="false">ROUND(AF93-L93,2)</f>
        <v>0</v>
      </c>
      <c r="W93" s="42" t="n">
        <f aca="false">ROUND(AG93-M93,2)</f>
        <v>0</v>
      </c>
      <c r="X93" s="42" t="n">
        <f aca="false">ROUND(AH93-N93,2)</f>
        <v>0</v>
      </c>
      <c r="Y93" s="42" t="n">
        <f aca="false">ROUND(AI93-O93,2)</f>
        <v>0</v>
      </c>
      <c r="Z93" s="56" t="n">
        <f aca="false">ROUND(P92*(1+N(Debts!$D$5)/12),2)</f>
        <v>0</v>
      </c>
      <c r="AA93" s="56" t="n">
        <f aca="false">ROUND(Q92*(1+N(Debts!$D$6)/12),2)</f>
        <v>0</v>
      </c>
      <c r="AB93" s="56" t="n">
        <f aca="false">ROUND(R92*(1+N(Debts!$D$7)/12),2)</f>
        <v>0</v>
      </c>
      <c r="AC93" s="56" t="n">
        <f aca="false">ROUND(S92*(1+N(Debts!$D$8)/12),2)</f>
        <v>0</v>
      </c>
      <c r="AD93" s="56" t="n">
        <f aca="false">ROUND(T92*(1+N(Debts!$D$9)/12),2)</f>
        <v>0</v>
      </c>
      <c r="AE93" s="56" t="n">
        <f aca="false">ROUND(U92*(1+N(Debts!$D$10)/12),2)</f>
        <v>0</v>
      </c>
      <c r="AF93" s="56" t="n">
        <f aca="false">ROUND(V92*(1+N(Debts!$D$11)/12),2)</f>
        <v>0</v>
      </c>
      <c r="AG93" s="56" t="n">
        <f aca="false">ROUND(W92*(1+N(Debts!$D$12)/12),2)</f>
        <v>0</v>
      </c>
      <c r="AH93" s="56" t="n">
        <f aca="false">ROUND(X92*(1+N(Debts!$D$13)/12),2)</f>
        <v>0</v>
      </c>
      <c r="AI93" s="56" t="n">
        <f aca="false">ROUND(Y92*(1+N(Debts!$D$14)/12),2)</f>
        <v>0</v>
      </c>
      <c r="AJ93" s="56" t="n">
        <f aca="false">MIN(Z93,MAX(0,N(Debts!$E$5)))</f>
        <v>0</v>
      </c>
      <c r="AK93" s="56" t="n">
        <f aca="false">MIN(AA93,MAX(0,N(Debts!$E$6)))</f>
        <v>0</v>
      </c>
      <c r="AL93" s="56" t="n">
        <f aca="false">MIN(AB93,MAX(0,N(Debts!$E$7)))</f>
        <v>0</v>
      </c>
      <c r="AM93" s="56" t="n">
        <f aca="false">MIN(AC93,MAX(0,N(Debts!$E$8)))</f>
        <v>0</v>
      </c>
      <c r="AN93" s="56" t="n">
        <f aca="false">MIN(AD93,MAX(0,N(Debts!$E$9)))</f>
        <v>0</v>
      </c>
      <c r="AO93" s="56" t="n">
        <f aca="false">MIN(AE93,MAX(0,N(Debts!$E$10)))</f>
        <v>0</v>
      </c>
      <c r="AP93" s="56" t="n">
        <f aca="false">MIN(AF93,MAX(0,N(Debts!$E$11)))</f>
        <v>0</v>
      </c>
      <c r="AQ93" s="56" t="n">
        <f aca="false">MIN(AG93,MAX(0,N(Debts!$E$12)))</f>
        <v>0</v>
      </c>
      <c r="AR93" s="56" t="n">
        <f aca="false">MIN(AH93,MAX(0,N(Debts!$E$13)))</f>
        <v>0</v>
      </c>
      <c r="AS93" s="56" t="n">
        <f aca="false">MIN(AI93,MAX(0,N(Debts!$E$14)))</f>
        <v>0</v>
      </c>
    </row>
    <row r="94" customFormat="false" ht="15" hidden="false" customHeight="false" outlineLevel="0" collapsed="false">
      <c r="A94" s="53" t="n">
        <v>90</v>
      </c>
      <c r="B94" s="54" t="n">
        <f aca="false">EDATE('Start Here'!$B$8,89)</f>
        <v>49035</v>
      </c>
      <c r="C94" s="42" t="n">
        <f aca="false">SUM(F94:O94)</f>
        <v>0</v>
      </c>
      <c r="D94" s="42" t="n">
        <f aca="false">ROUND(SUM($Z94:$AI94)-SUM(P93:Y93),2)</f>
        <v>0</v>
      </c>
      <c r="E94" s="55" t="n">
        <f aca="false">SUM(P94:Y94)</f>
        <v>0</v>
      </c>
      <c r="F94" s="42" t="n">
        <f aca="false">AJ94+MIN(Z94-AJ94,MAX(0,'Start Here'!$B$10-SUM($AJ94:$AS94)-SUMPRODUCT(($Z$3:$AI$3&lt;Z$3)*($Z94:$AI94-$AJ94:$AS94))))</f>
        <v>0</v>
      </c>
      <c r="G94" s="42" t="n">
        <f aca="false">AK94+MIN(AA94-AK94,MAX(0,'Start Here'!$B$10-SUM($AJ94:$AS94)-SUMPRODUCT(($Z$3:$AI$3&lt;AA$3)*($Z94:$AI94-$AJ94:$AS94))))</f>
        <v>0</v>
      </c>
      <c r="H94" s="42" t="n">
        <f aca="false">AL94+MIN(AB94-AL94,MAX(0,'Start Here'!$B$10-SUM($AJ94:$AS94)-SUMPRODUCT(($Z$3:$AI$3&lt;AB$3)*($Z94:$AI94-$AJ94:$AS94))))</f>
        <v>0</v>
      </c>
      <c r="I94" s="42" t="n">
        <f aca="false">AM94+MIN(AC94-AM94,MAX(0,'Start Here'!$B$10-SUM($AJ94:$AS94)-SUMPRODUCT(($Z$3:$AI$3&lt;AC$3)*($Z94:$AI94-$AJ94:$AS94))))</f>
        <v>0</v>
      </c>
      <c r="J94" s="42" t="n">
        <f aca="false">AN94+MIN(AD94-AN94,MAX(0,'Start Here'!$B$10-SUM($AJ94:$AS94)-SUMPRODUCT(($Z$3:$AI$3&lt;AD$3)*($Z94:$AI94-$AJ94:$AS94))))</f>
        <v>0</v>
      </c>
      <c r="K94" s="42" t="n">
        <f aca="false">AO94+MIN(AE94-AO94,MAX(0,'Start Here'!$B$10-SUM($AJ94:$AS94)-SUMPRODUCT(($Z$3:$AI$3&lt;AE$3)*($Z94:$AI94-$AJ94:$AS94))))</f>
        <v>0</v>
      </c>
      <c r="L94" s="42" t="n">
        <f aca="false">AP94+MIN(AF94-AP94,MAX(0,'Start Here'!$B$10-SUM($AJ94:$AS94)-SUMPRODUCT(($Z$3:$AI$3&lt;AF$3)*($Z94:$AI94-$AJ94:$AS94))))</f>
        <v>0</v>
      </c>
      <c r="M94" s="42" t="n">
        <f aca="false">AQ94+MIN(AG94-AQ94,MAX(0,'Start Here'!$B$10-SUM($AJ94:$AS94)-SUMPRODUCT(($Z$3:$AI$3&lt;AG$3)*($Z94:$AI94-$AJ94:$AS94))))</f>
        <v>0</v>
      </c>
      <c r="N94" s="42" t="n">
        <f aca="false">AR94+MIN(AH94-AR94,MAX(0,'Start Here'!$B$10-SUM($AJ94:$AS94)-SUMPRODUCT(($Z$3:$AI$3&lt;AH$3)*($Z94:$AI94-$AJ94:$AS94))))</f>
        <v>0</v>
      </c>
      <c r="O94" s="42" t="n">
        <f aca="false">AS94+MIN(AI94-AS94,MAX(0,'Start Here'!$B$10-SUM($AJ94:$AS94)-SUMPRODUCT(($Z$3:$AI$3&lt;AI$3)*($Z94:$AI94-$AJ94:$AS94))))</f>
        <v>0</v>
      </c>
      <c r="P94" s="42" t="n">
        <f aca="false">ROUND(Z94-F94,2)</f>
        <v>0</v>
      </c>
      <c r="Q94" s="42" t="n">
        <f aca="false">ROUND(AA94-G94,2)</f>
        <v>0</v>
      </c>
      <c r="R94" s="42" t="n">
        <f aca="false">ROUND(AB94-H94,2)</f>
        <v>0</v>
      </c>
      <c r="S94" s="42" t="n">
        <f aca="false">ROUND(AC94-I94,2)</f>
        <v>0</v>
      </c>
      <c r="T94" s="42" t="n">
        <f aca="false">ROUND(AD94-J94,2)</f>
        <v>0</v>
      </c>
      <c r="U94" s="42" t="n">
        <f aca="false">ROUND(AE94-K94,2)</f>
        <v>0</v>
      </c>
      <c r="V94" s="42" t="n">
        <f aca="false">ROUND(AF94-L94,2)</f>
        <v>0</v>
      </c>
      <c r="W94" s="42" t="n">
        <f aca="false">ROUND(AG94-M94,2)</f>
        <v>0</v>
      </c>
      <c r="X94" s="42" t="n">
        <f aca="false">ROUND(AH94-N94,2)</f>
        <v>0</v>
      </c>
      <c r="Y94" s="42" t="n">
        <f aca="false">ROUND(AI94-O94,2)</f>
        <v>0</v>
      </c>
      <c r="Z94" s="56" t="n">
        <f aca="false">ROUND(P93*(1+N(Debts!$D$5)/12),2)</f>
        <v>0</v>
      </c>
      <c r="AA94" s="56" t="n">
        <f aca="false">ROUND(Q93*(1+N(Debts!$D$6)/12),2)</f>
        <v>0</v>
      </c>
      <c r="AB94" s="56" t="n">
        <f aca="false">ROUND(R93*(1+N(Debts!$D$7)/12),2)</f>
        <v>0</v>
      </c>
      <c r="AC94" s="56" t="n">
        <f aca="false">ROUND(S93*(1+N(Debts!$D$8)/12),2)</f>
        <v>0</v>
      </c>
      <c r="AD94" s="56" t="n">
        <f aca="false">ROUND(T93*(1+N(Debts!$D$9)/12),2)</f>
        <v>0</v>
      </c>
      <c r="AE94" s="56" t="n">
        <f aca="false">ROUND(U93*(1+N(Debts!$D$10)/12),2)</f>
        <v>0</v>
      </c>
      <c r="AF94" s="56" t="n">
        <f aca="false">ROUND(V93*(1+N(Debts!$D$11)/12),2)</f>
        <v>0</v>
      </c>
      <c r="AG94" s="56" t="n">
        <f aca="false">ROUND(W93*(1+N(Debts!$D$12)/12),2)</f>
        <v>0</v>
      </c>
      <c r="AH94" s="56" t="n">
        <f aca="false">ROUND(X93*(1+N(Debts!$D$13)/12),2)</f>
        <v>0</v>
      </c>
      <c r="AI94" s="56" t="n">
        <f aca="false">ROUND(Y93*(1+N(Debts!$D$14)/12),2)</f>
        <v>0</v>
      </c>
      <c r="AJ94" s="56" t="n">
        <f aca="false">MIN(Z94,MAX(0,N(Debts!$E$5)))</f>
        <v>0</v>
      </c>
      <c r="AK94" s="56" t="n">
        <f aca="false">MIN(AA94,MAX(0,N(Debts!$E$6)))</f>
        <v>0</v>
      </c>
      <c r="AL94" s="56" t="n">
        <f aca="false">MIN(AB94,MAX(0,N(Debts!$E$7)))</f>
        <v>0</v>
      </c>
      <c r="AM94" s="56" t="n">
        <f aca="false">MIN(AC94,MAX(0,N(Debts!$E$8)))</f>
        <v>0</v>
      </c>
      <c r="AN94" s="56" t="n">
        <f aca="false">MIN(AD94,MAX(0,N(Debts!$E$9)))</f>
        <v>0</v>
      </c>
      <c r="AO94" s="56" t="n">
        <f aca="false">MIN(AE94,MAX(0,N(Debts!$E$10)))</f>
        <v>0</v>
      </c>
      <c r="AP94" s="56" t="n">
        <f aca="false">MIN(AF94,MAX(0,N(Debts!$E$11)))</f>
        <v>0</v>
      </c>
      <c r="AQ94" s="56" t="n">
        <f aca="false">MIN(AG94,MAX(0,N(Debts!$E$12)))</f>
        <v>0</v>
      </c>
      <c r="AR94" s="56" t="n">
        <f aca="false">MIN(AH94,MAX(0,N(Debts!$E$13)))</f>
        <v>0</v>
      </c>
      <c r="AS94" s="56" t="n">
        <f aca="false">MIN(AI94,MAX(0,N(Debts!$E$14)))</f>
        <v>0</v>
      </c>
    </row>
    <row r="95" customFormat="false" ht="15" hidden="false" customHeight="false" outlineLevel="0" collapsed="false">
      <c r="A95" s="53" t="n">
        <v>91</v>
      </c>
      <c r="B95" s="54" t="n">
        <f aca="false">EDATE('Start Here'!$B$8,90)</f>
        <v>49065</v>
      </c>
      <c r="C95" s="42" t="n">
        <f aca="false">SUM(F95:O95)</f>
        <v>0</v>
      </c>
      <c r="D95" s="42" t="n">
        <f aca="false">ROUND(SUM($Z95:$AI95)-SUM(P94:Y94),2)</f>
        <v>0</v>
      </c>
      <c r="E95" s="55" t="n">
        <f aca="false">SUM(P95:Y95)</f>
        <v>0</v>
      </c>
      <c r="F95" s="42" t="n">
        <f aca="false">AJ95+MIN(Z95-AJ95,MAX(0,'Start Here'!$B$10-SUM($AJ95:$AS95)-SUMPRODUCT(($Z$3:$AI$3&lt;Z$3)*($Z95:$AI95-$AJ95:$AS95))))</f>
        <v>0</v>
      </c>
      <c r="G95" s="42" t="n">
        <f aca="false">AK95+MIN(AA95-AK95,MAX(0,'Start Here'!$B$10-SUM($AJ95:$AS95)-SUMPRODUCT(($Z$3:$AI$3&lt;AA$3)*($Z95:$AI95-$AJ95:$AS95))))</f>
        <v>0</v>
      </c>
      <c r="H95" s="42" t="n">
        <f aca="false">AL95+MIN(AB95-AL95,MAX(0,'Start Here'!$B$10-SUM($AJ95:$AS95)-SUMPRODUCT(($Z$3:$AI$3&lt;AB$3)*($Z95:$AI95-$AJ95:$AS95))))</f>
        <v>0</v>
      </c>
      <c r="I95" s="42" t="n">
        <f aca="false">AM95+MIN(AC95-AM95,MAX(0,'Start Here'!$B$10-SUM($AJ95:$AS95)-SUMPRODUCT(($Z$3:$AI$3&lt;AC$3)*($Z95:$AI95-$AJ95:$AS95))))</f>
        <v>0</v>
      </c>
      <c r="J95" s="42" t="n">
        <f aca="false">AN95+MIN(AD95-AN95,MAX(0,'Start Here'!$B$10-SUM($AJ95:$AS95)-SUMPRODUCT(($Z$3:$AI$3&lt;AD$3)*($Z95:$AI95-$AJ95:$AS95))))</f>
        <v>0</v>
      </c>
      <c r="K95" s="42" t="n">
        <f aca="false">AO95+MIN(AE95-AO95,MAX(0,'Start Here'!$B$10-SUM($AJ95:$AS95)-SUMPRODUCT(($Z$3:$AI$3&lt;AE$3)*($Z95:$AI95-$AJ95:$AS95))))</f>
        <v>0</v>
      </c>
      <c r="L95" s="42" t="n">
        <f aca="false">AP95+MIN(AF95-AP95,MAX(0,'Start Here'!$B$10-SUM($AJ95:$AS95)-SUMPRODUCT(($Z$3:$AI$3&lt;AF$3)*($Z95:$AI95-$AJ95:$AS95))))</f>
        <v>0</v>
      </c>
      <c r="M95" s="42" t="n">
        <f aca="false">AQ95+MIN(AG95-AQ95,MAX(0,'Start Here'!$B$10-SUM($AJ95:$AS95)-SUMPRODUCT(($Z$3:$AI$3&lt;AG$3)*($Z95:$AI95-$AJ95:$AS95))))</f>
        <v>0</v>
      </c>
      <c r="N95" s="42" t="n">
        <f aca="false">AR95+MIN(AH95-AR95,MAX(0,'Start Here'!$B$10-SUM($AJ95:$AS95)-SUMPRODUCT(($Z$3:$AI$3&lt;AH$3)*($Z95:$AI95-$AJ95:$AS95))))</f>
        <v>0</v>
      </c>
      <c r="O95" s="42" t="n">
        <f aca="false">AS95+MIN(AI95-AS95,MAX(0,'Start Here'!$B$10-SUM($AJ95:$AS95)-SUMPRODUCT(($Z$3:$AI$3&lt;AI$3)*($Z95:$AI95-$AJ95:$AS95))))</f>
        <v>0</v>
      </c>
      <c r="P95" s="42" t="n">
        <f aca="false">ROUND(Z95-F95,2)</f>
        <v>0</v>
      </c>
      <c r="Q95" s="42" t="n">
        <f aca="false">ROUND(AA95-G95,2)</f>
        <v>0</v>
      </c>
      <c r="R95" s="42" t="n">
        <f aca="false">ROUND(AB95-H95,2)</f>
        <v>0</v>
      </c>
      <c r="S95" s="42" t="n">
        <f aca="false">ROUND(AC95-I95,2)</f>
        <v>0</v>
      </c>
      <c r="T95" s="42" t="n">
        <f aca="false">ROUND(AD95-J95,2)</f>
        <v>0</v>
      </c>
      <c r="U95" s="42" t="n">
        <f aca="false">ROUND(AE95-K95,2)</f>
        <v>0</v>
      </c>
      <c r="V95" s="42" t="n">
        <f aca="false">ROUND(AF95-L95,2)</f>
        <v>0</v>
      </c>
      <c r="W95" s="42" t="n">
        <f aca="false">ROUND(AG95-M95,2)</f>
        <v>0</v>
      </c>
      <c r="X95" s="42" t="n">
        <f aca="false">ROUND(AH95-N95,2)</f>
        <v>0</v>
      </c>
      <c r="Y95" s="42" t="n">
        <f aca="false">ROUND(AI95-O95,2)</f>
        <v>0</v>
      </c>
      <c r="Z95" s="56" t="n">
        <f aca="false">ROUND(P94*(1+N(Debts!$D$5)/12),2)</f>
        <v>0</v>
      </c>
      <c r="AA95" s="56" t="n">
        <f aca="false">ROUND(Q94*(1+N(Debts!$D$6)/12),2)</f>
        <v>0</v>
      </c>
      <c r="AB95" s="56" t="n">
        <f aca="false">ROUND(R94*(1+N(Debts!$D$7)/12),2)</f>
        <v>0</v>
      </c>
      <c r="AC95" s="56" t="n">
        <f aca="false">ROUND(S94*(1+N(Debts!$D$8)/12),2)</f>
        <v>0</v>
      </c>
      <c r="AD95" s="56" t="n">
        <f aca="false">ROUND(T94*(1+N(Debts!$D$9)/12),2)</f>
        <v>0</v>
      </c>
      <c r="AE95" s="56" t="n">
        <f aca="false">ROUND(U94*(1+N(Debts!$D$10)/12),2)</f>
        <v>0</v>
      </c>
      <c r="AF95" s="56" t="n">
        <f aca="false">ROUND(V94*(1+N(Debts!$D$11)/12),2)</f>
        <v>0</v>
      </c>
      <c r="AG95" s="56" t="n">
        <f aca="false">ROUND(W94*(1+N(Debts!$D$12)/12),2)</f>
        <v>0</v>
      </c>
      <c r="AH95" s="56" t="n">
        <f aca="false">ROUND(X94*(1+N(Debts!$D$13)/12),2)</f>
        <v>0</v>
      </c>
      <c r="AI95" s="56" t="n">
        <f aca="false">ROUND(Y94*(1+N(Debts!$D$14)/12),2)</f>
        <v>0</v>
      </c>
      <c r="AJ95" s="56" t="n">
        <f aca="false">MIN(Z95,MAX(0,N(Debts!$E$5)))</f>
        <v>0</v>
      </c>
      <c r="AK95" s="56" t="n">
        <f aca="false">MIN(AA95,MAX(0,N(Debts!$E$6)))</f>
        <v>0</v>
      </c>
      <c r="AL95" s="56" t="n">
        <f aca="false">MIN(AB95,MAX(0,N(Debts!$E$7)))</f>
        <v>0</v>
      </c>
      <c r="AM95" s="56" t="n">
        <f aca="false">MIN(AC95,MAX(0,N(Debts!$E$8)))</f>
        <v>0</v>
      </c>
      <c r="AN95" s="56" t="n">
        <f aca="false">MIN(AD95,MAX(0,N(Debts!$E$9)))</f>
        <v>0</v>
      </c>
      <c r="AO95" s="56" t="n">
        <f aca="false">MIN(AE95,MAX(0,N(Debts!$E$10)))</f>
        <v>0</v>
      </c>
      <c r="AP95" s="56" t="n">
        <f aca="false">MIN(AF95,MAX(0,N(Debts!$E$11)))</f>
        <v>0</v>
      </c>
      <c r="AQ95" s="56" t="n">
        <f aca="false">MIN(AG95,MAX(0,N(Debts!$E$12)))</f>
        <v>0</v>
      </c>
      <c r="AR95" s="56" t="n">
        <f aca="false">MIN(AH95,MAX(0,N(Debts!$E$13)))</f>
        <v>0</v>
      </c>
      <c r="AS95" s="56" t="n">
        <f aca="false">MIN(AI95,MAX(0,N(Debts!$E$14)))</f>
        <v>0</v>
      </c>
    </row>
    <row r="96" customFormat="false" ht="15" hidden="false" customHeight="false" outlineLevel="0" collapsed="false">
      <c r="A96" s="53" t="n">
        <v>92</v>
      </c>
      <c r="B96" s="54" t="n">
        <f aca="false">EDATE('Start Here'!$B$8,91)</f>
        <v>49096</v>
      </c>
      <c r="C96" s="42" t="n">
        <f aca="false">SUM(F96:O96)</f>
        <v>0</v>
      </c>
      <c r="D96" s="42" t="n">
        <f aca="false">ROUND(SUM($Z96:$AI96)-SUM(P95:Y95),2)</f>
        <v>0</v>
      </c>
      <c r="E96" s="55" t="n">
        <f aca="false">SUM(P96:Y96)</f>
        <v>0</v>
      </c>
      <c r="F96" s="42" t="n">
        <f aca="false">AJ96+MIN(Z96-AJ96,MAX(0,'Start Here'!$B$10-SUM($AJ96:$AS96)-SUMPRODUCT(($Z$3:$AI$3&lt;Z$3)*($Z96:$AI96-$AJ96:$AS96))))</f>
        <v>0</v>
      </c>
      <c r="G96" s="42" t="n">
        <f aca="false">AK96+MIN(AA96-AK96,MAX(0,'Start Here'!$B$10-SUM($AJ96:$AS96)-SUMPRODUCT(($Z$3:$AI$3&lt;AA$3)*($Z96:$AI96-$AJ96:$AS96))))</f>
        <v>0</v>
      </c>
      <c r="H96" s="42" t="n">
        <f aca="false">AL96+MIN(AB96-AL96,MAX(0,'Start Here'!$B$10-SUM($AJ96:$AS96)-SUMPRODUCT(($Z$3:$AI$3&lt;AB$3)*($Z96:$AI96-$AJ96:$AS96))))</f>
        <v>0</v>
      </c>
      <c r="I96" s="42" t="n">
        <f aca="false">AM96+MIN(AC96-AM96,MAX(0,'Start Here'!$B$10-SUM($AJ96:$AS96)-SUMPRODUCT(($Z$3:$AI$3&lt;AC$3)*($Z96:$AI96-$AJ96:$AS96))))</f>
        <v>0</v>
      </c>
      <c r="J96" s="42" t="n">
        <f aca="false">AN96+MIN(AD96-AN96,MAX(0,'Start Here'!$B$10-SUM($AJ96:$AS96)-SUMPRODUCT(($Z$3:$AI$3&lt;AD$3)*($Z96:$AI96-$AJ96:$AS96))))</f>
        <v>0</v>
      </c>
      <c r="K96" s="42" t="n">
        <f aca="false">AO96+MIN(AE96-AO96,MAX(0,'Start Here'!$B$10-SUM($AJ96:$AS96)-SUMPRODUCT(($Z$3:$AI$3&lt;AE$3)*($Z96:$AI96-$AJ96:$AS96))))</f>
        <v>0</v>
      </c>
      <c r="L96" s="42" t="n">
        <f aca="false">AP96+MIN(AF96-AP96,MAX(0,'Start Here'!$B$10-SUM($AJ96:$AS96)-SUMPRODUCT(($Z$3:$AI$3&lt;AF$3)*($Z96:$AI96-$AJ96:$AS96))))</f>
        <v>0</v>
      </c>
      <c r="M96" s="42" t="n">
        <f aca="false">AQ96+MIN(AG96-AQ96,MAX(0,'Start Here'!$B$10-SUM($AJ96:$AS96)-SUMPRODUCT(($Z$3:$AI$3&lt;AG$3)*($Z96:$AI96-$AJ96:$AS96))))</f>
        <v>0</v>
      </c>
      <c r="N96" s="42" t="n">
        <f aca="false">AR96+MIN(AH96-AR96,MAX(0,'Start Here'!$B$10-SUM($AJ96:$AS96)-SUMPRODUCT(($Z$3:$AI$3&lt;AH$3)*($Z96:$AI96-$AJ96:$AS96))))</f>
        <v>0</v>
      </c>
      <c r="O96" s="42" t="n">
        <f aca="false">AS96+MIN(AI96-AS96,MAX(0,'Start Here'!$B$10-SUM($AJ96:$AS96)-SUMPRODUCT(($Z$3:$AI$3&lt;AI$3)*($Z96:$AI96-$AJ96:$AS96))))</f>
        <v>0</v>
      </c>
      <c r="P96" s="42" t="n">
        <f aca="false">ROUND(Z96-F96,2)</f>
        <v>0</v>
      </c>
      <c r="Q96" s="42" t="n">
        <f aca="false">ROUND(AA96-G96,2)</f>
        <v>0</v>
      </c>
      <c r="R96" s="42" t="n">
        <f aca="false">ROUND(AB96-H96,2)</f>
        <v>0</v>
      </c>
      <c r="S96" s="42" t="n">
        <f aca="false">ROUND(AC96-I96,2)</f>
        <v>0</v>
      </c>
      <c r="T96" s="42" t="n">
        <f aca="false">ROUND(AD96-J96,2)</f>
        <v>0</v>
      </c>
      <c r="U96" s="42" t="n">
        <f aca="false">ROUND(AE96-K96,2)</f>
        <v>0</v>
      </c>
      <c r="V96" s="42" t="n">
        <f aca="false">ROUND(AF96-L96,2)</f>
        <v>0</v>
      </c>
      <c r="W96" s="42" t="n">
        <f aca="false">ROUND(AG96-M96,2)</f>
        <v>0</v>
      </c>
      <c r="X96" s="42" t="n">
        <f aca="false">ROUND(AH96-N96,2)</f>
        <v>0</v>
      </c>
      <c r="Y96" s="42" t="n">
        <f aca="false">ROUND(AI96-O96,2)</f>
        <v>0</v>
      </c>
      <c r="Z96" s="56" t="n">
        <f aca="false">ROUND(P95*(1+N(Debts!$D$5)/12),2)</f>
        <v>0</v>
      </c>
      <c r="AA96" s="56" t="n">
        <f aca="false">ROUND(Q95*(1+N(Debts!$D$6)/12),2)</f>
        <v>0</v>
      </c>
      <c r="AB96" s="56" t="n">
        <f aca="false">ROUND(R95*(1+N(Debts!$D$7)/12),2)</f>
        <v>0</v>
      </c>
      <c r="AC96" s="56" t="n">
        <f aca="false">ROUND(S95*(1+N(Debts!$D$8)/12),2)</f>
        <v>0</v>
      </c>
      <c r="AD96" s="56" t="n">
        <f aca="false">ROUND(T95*(1+N(Debts!$D$9)/12),2)</f>
        <v>0</v>
      </c>
      <c r="AE96" s="56" t="n">
        <f aca="false">ROUND(U95*(1+N(Debts!$D$10)/12),2)</f>
        <v>0</v>
      </c>
      <c r="AF96" s="56" t="n">
        <f aca="false">ROUND(V95*(1+N(Debts!$D$11)/12),2)</f>
        <v>0</v>
      </c>
      <c r="AG96" s="56" t="n">
        <f aca="false">ROUND(W95*(1+N(Debts!$D$12)/12),2)</f>
        <v>0</v>
      </c>
      <c r="AH96" s="56" t="n">
        <f aca="false">ROUND(X95*(1+N(Debts!$D$13)/12),2)</f>
        <v>0</v>
      </c>
      <c r="AI96" s="56" t="n">
        <f aca="false">ROUND(Y95*(1+N(Debts!$D$14)/12),2)</f>
        <v>0</v>
      </c>
      <c r="AJ96" s="56" t="n">
        <f aca="false">MIN(Z96,MAX(0,N(Debts!$E$5)))</f>
        <v>0</v>
      </c>
      <c r="AK96" s="56" t="n">
        <f aca="false">MIN(AA96,MAX(0,N(Debts!$E$6)))</f>
        <v>0</v>
      </c>
      <c r="AL96" s="56" t="n">
        <f aca="false">MIN(AB96,MAX(0,N(Debts!$E$7)))</f>
        <v>0</v>
      </c>
      <c r="AM96" s="56" t="n">
        <f aca="false">MIN(AC96,MAX(0,N(Debts!$E$8)))</f>
        <v>0</v>
      </c>
      <c r="AN96" s="56" t="n">
        <f aca="false">MIN(AD96,MAX(0,N(Debts!$E$9)))</f>
        <v>0</v>
      </c>
      <c r="AO96" s="56" t="n">
        <f aca="false">MIN(AE96,MAX(0,N(Debts!$E$10)))</f>
        <v>0</v>
      </c>
      <c r="AP96" s="56" t="n">
        <f aca="false">MIN(AF96,MAX(0,N(Debts!$E$11)))</f>
        <v>0</v>
      </c>
      <c r="AQ96" s="56" t="n">
        <f aca="false">MIN(AG96,MAX(0,N(Debts!$E$12)))</f>
        <v>0</v>
      </c>
      <c r="AR96" s="56" t="n">
        <f aca="false">MIN(AH96,MAX(0,N(Debts!$E$13)))</f>
        <v>0</v>
      </c>
      <c r="AS96" s="56" t="n">
        <f aca="false">MIN(AI96,MAX(0,N(Debts!$E$14)))</f>
        <v>0</v>
      </c>
    </row>
    <row r="97" customFormat="false" ht="15" hidden="false" customHeight="false" outlineLevel="0" collapsed="false">
      <c r="A97" s="53" t="n">
        <v>93</v>
      </c>
      <c r="B97" s="54" t="n">
        <f aca="false">EDATE('Start Here'!$B$8,92)</f>
        <v>49126</v>
      </c>
      <c r="C97" s="42" t="n">
        <f aca="false">SUM(F97:O97)</f>
        <v>0</v>
      </c>
      <c r="D97" s="42" t="n">
        <f aca="false">ROUND(SUM($Z97:$AI97)-SUM(P96:Y96),2)</f>
        <v>0</v>
      </c>
      <c r="E97" s="55" t="n">
        <f aca="false">SUM(P97:Y97)</f>
        <v>0</v>
      </c>
      <c r="F97" s="42" t="n">
        <f aca="false">AJ97+MIN(Z97-AJ97,MAX(0,'Start Here'!$B$10-SUM($AJ97:$AS97)-SUMPRODUCT(($Z$3:$AI$3&lt;Z$3)*($Z97:$AI97-$AJ97:$AS97))))</f>
        <v>0</v>
      </c>
      <c r="G97" s="42" t="n">
        <f aca="false">AK97+MIN(AA97-AK97,MAX(0,'Start Here'!$B$10-SUM($AJ97:$AS97)-SUMPRODUCT(($Z$3:$AI$3&lt;AA$3)*($Z97:$AI97-$AJ97:$AS97))))</f>
        <v>0</v>
      </c>
      <c r="H97" s="42" t="n">
        <f aca="false">AL97+MIN(AB97-AL97,MAX(0,'Start Here'!$B$10-SUM($AJ97:$AS97)-SUMPRODUCT(($Z$3:$AI$3&lt;AB$3)*($Z97:$AI97-$AJ97:$AS97))))</f>
        <v>0</v>
      </c>
      <c r="I97" s="42" t="n">
        <f aca="false">AM97+MIN(AC97-AM97,MAX(0,'Start Here'!$B$10-SUM($AJ97:$AS97)-SUMPRODUCT(($Z$3:$AI$3&lt;AC$3)*($Z97:$AI97-$AJ97:$AS97))))</f>
        <v>0</v>
      </c>
      <c r="J97" s="42" t="n">
        <f aca="false">AN97+MIN(AD97-AN97,MAX(0,'Start Here'!$B$10-SUM($AJ97:$AS97)-SUMPRODUCT(($Z$3:$AI$3&lt;AD$3)*($Z97:$AI97-$AJ97:$AS97))))</f>
        <v>0</v>
      </c>
      <c r="K97" s="42" t="n">
        <f aca="false">AO97+MIN(AE97-AO97,MAX(0,'Start Here'!$B$10-SUM($AJ97:$AS97)-SUMPRODUCT(($Z$3:$AI$3&lt;AE$3)*($Z97:$AI97-$AJ97:$AS97))))</f>
        <v>0</v>
      </c>
      <c r="L97" s="42" t="n">
        <f aca="false">AP97+MIN(AF97-AP97,MAX(0,'Start Here'!$B$10-SUM($AJ97:$AS97)-SUMPRODUCT(($Z$3:$AI$3&lt;AF$3)*($Z97:$AI97-$AJ97:$AS97))))</f>
        <v>0</v>
      </c>
      <c r="M97" s="42" t="n">
        <f aca="false">AQ97+MIN(AG97-AQ97,MAX(0,'Start Here'!$B$10-SUM($AJ97:$AS97)-SUMPRODUCT(($Z$3:$AI$3&lt;AG$3)*($Z97:$AI97-$AJ97:$AS97))))</f>
        <v>0</v>
      </c>
      <c r="N97" s="42" t="n">
        <f aca="false">AR97+MIN(AH97-AR97,MAX(0,'Start Here'!$B$10-SUM($AJ97:$AS97)-SUMPRODUCT(($Z$3:$AI$3&lt;AH$3)*($Z97:$AI97-$AJ97:$AS97))))</f>
        <v>0</v>
      </c>
      <c r="O97" s="42" t="n">
        <f aca="false">AS97+MIN(AI97-AS97,MAX(0,'Start Here'!$B$10-SUM($AJ97:$AS97)-SUMPRODUCT(($Z$3:$AI$3&lt;AI$3)*($Z97:$AI97-$AJ97:$AS97))))</f>
        <v>0</v>
      </c>
      <c r="P97" s="42" t="n">
        <f aca="false">ROUND(Z97-F97,2)</f>
        <v>0</v>
      </c>
      <c r="Q97" s="42" t="n">
        <f aca="false">ROUND(AA97-G97,2)</f>
        <v>0</v>
      </c>
      <c r="R97" s="42" t="n">
        <f aca="false">ROUND(AB97-H97,2)</f>
        <v>0</v>
      </c>
      <c r="S97" s="42" t="n">
        <f aca="false">ROUND(AC97-I97,2)</f>
        <v>0</v>
      </c>
      <c r="T97" s="42" t="n">
        <f aca="false">ROUND(AD97-J97,2)</f>
        <v>0</v>
      </c>
      <c r="U97" s="42" t="n">
        <f aca="false">ROUND(AE97-K97,2)</f>
        <v>0</v>
      </c>
      <c r="V97" s="42" t="n">
        <f aca="false">ROUND(AF97-L97,2)</f>
        <v>0</v>
      </c>
      <c r="W97" s="42" t="n">
        <f aca="false">ROUND(AG97-M97,2)</f>
        <v>0</v>
      </c>
      <c r="X97" s="42" t="n">
        <f aca="false">ROUND(AH97-N97,2)</f>
        <v>0</v>
      </c>
      <c r="Y97" s="42" t="n">
        <f aca="false">ROUND(AI97-O97,2)</f>
        <v>0</v>
      </c>
      <c r="Z97" s="56" t="n">
        <f aca="false">ROUND(P96*(1+N(Debts!$D$5)/12),2)</f>
        <v>0</v>
      </c>
      <c r="AA97" s="56" t="n">
        <f aca="false">ROUND(Q96*(1+N(Debts!$D$6)/12),2)</f>
        <v>0</v>
      </c>
      <c r="AB97" s="56" t="n">
        <f aca="false">ROUND(R96*(1+N(Debts!$D$7)/12),2)</f>
        <v>0</v>
      </c>
      <c r="AC97" s="56" t="n">
        <f aca="false">ROUND(S96*(1+N(Debts!$D$8)/12),2)</f>
        <v>0</v>
      </c>
      <c r="AD97" s="56" t="n">
        <f aca="false">ROUND(T96*(1+N(Debts!$D$9)/12),2)</f>
        <v>0</v>
      </c>
      <c r="AE97" s="56" t="n">
        <f aca="false">ROUND(U96*(1+N(Debts!$D$10)/12),2)</f>
        <v>0</v>
      </c>
      <c r="AF97" s="56" t="n">
        <f aca="false">ROUND(V96*(1+N(Debts!$D$11)/12),2)</f>
        <v>0</v>
      </c>
      <c r="AG97" s="56" t="n">
        <f aca="false">ROUND(W96*(1+N(Debts!$D$12)/12),2)</f>
        <v>0</v>
      </c>
      <c r="AH97" s="56" t="n">
        <f aca="false">ROUND(X96*(1+N(Debts!$D$13)/12),2)</f>
        <v>0</v>
      </c>
      <c r="AI97" s="56" t="n">
        <f aca="false">ROUND(Y96*(1+N(Debts!$D$14)/12),2)</f>
        <v>0</v>
      </c>
      <c r="AJ97" s="56" t="n">
        <f aca="false">MIN(Z97,MAX(0,N(Debts!$E$5)))</f>
        <v>0</v>
      </c>
      <c r="AK97" s="56" t="n">
        <f aca="false">MIN(AA97,MAX(0,N(Debts!$E$6)))</f>
        <v>0</v>
      </c>
      <c r="AL97" s="56" t="n">
        <f aca="false">MIN(AB97,MAX(0,N(Debts!$E$7)))</f>
        <v>0</v>
      </c>
      <c r="AM97" s="56" t="n">
        <f aca="false">MIN(AC97,MAX(0,N(Debts!$E$8)))</f>
        <v>0</v>
      </c>
      <c r="AN97" s="56" t="n">
        <f aca="false">MIN(AD97,MAX(0,N(Debts!$E$9)))</f>
        <v>0</v>
      </c>
      <c r="AO97" s="56" t="n">
        <f aca="false">MIN(AE97,MAX(0,N(Debts!$E$10)))</f>
        <v>0</v>
      </c>
      <c r="AP97" s="56" t="n">
        <f aca="false">MIN(AF97,MAX(0,N(Debts!$E$11)))</f>
        <v>0</v>
      </c>
      <c r="AQ97" s="56" t="n">
        <f aca="false">MIN(AG97,MAX(0,N(Debts!$E$12)))</f>
        <v>0</v>
      </c>
      <c r="AR97" s="56" t="n">
        <f aca="false">MIN(AH97,MAX(0,N(Debts!$E$13)))</f>
        <v>0</v>
      </c>
      <c r="AS97" s="56" t="n">
        <f aca="false">MIN(AI97,MAX(0,N(Debts!$E$14)))</f>
        <v>0</v>
      </c>
    </row>
    <row r="98" customFormat="false" ht="15" hidden="false" customHeight="false" outlineLevel="0" collapsed="false">
      <c r="A98" s="53" t="n">
        <v>94</v>
      </c>
      <c r="B98" s="54" t="n">
        <f aca="false">EDATE('Start Here'!$B$8,93)</f>
        <v>49157</v>
      </c>
      <c r="C98" s="42" t="n">
        <f aca="false">SUM(F98:O98)</f>
        <v>0</v>
      </c>
      <c r="D98" s="42" t="n">
        <f aca="false">ROUND(SUM($Z98:$AI98)-SUM(P97:Y97),2)</f>
        <v>0</v>
      </c>
      <c r="E98" s="55" t="n">
        <f aca="false">SUM(P98:Y98)</f>
        <v>0</v>
      </c>
      <c r="F98" s="42" t="n">
        <f aca="false">AJ98+MIN(Z98-AJ98,MAX(0,'Start Here'!$B$10-SUM($AJ98:$AS98)-SUMPRODUCT(($Z$3:$AI$3&lt;Z$3)*($Z98:$AI98-$AJ98:$AS98))))</f>
        <v>0</v>
      </c>
      <c r="G98" s="42" t="n">
        <f aca="false">AK98+MIN(AA98-AK98,MAX(0,'Start Here'!$B$10-SUM($AJ98:$AS98)-SUMPRODUCT(($Z$3:$AI$3&lt;AA$3)*($Z98:$AI98-$AJ98:$AS98))))</f>
        <v>0</v>
      </c>
      <c r="H98" s="42" t="n">
        <f aca="false">AL98+MIN(AB98-AL98,MAX(0,'Start Here'!$B$10-SUM($AJ98:$AS98)-SUMPRODUCT(($Z$3:$AI$3&lt;AB$3)*($Z98:$AI98-$AJ98:$AS98))))</f>
        <v>0</v>
      </c>
      <c r="I98" s="42" t="n">
        <f aca="false">AM98+MIN(AC98-AM98,MAX(0,'Start Here'!$B$10-SUM($AJ98:$AS98)-SUMPRODUCT(($Z$3:$AI$3&lt;AC$3)*($Z98:$AI98-$AJ98:$AS98))))</f>
        <v>0</v>
      </c>
      <c r="J98" s="42" t="n">
        <f aca="false">AN98+MIN(AD98-AN98,MAX(0,'Start Here'!$B$10-SUM($AJ98:$AS98)-SUMPRODUCT(($Z$3:$AI$3&lt;AD$3)*($Z98:$AI98-$AJ98:$AS98))))</f>
        <v>0</v>
      </c>
      <c r="K98" s="42" t="n">
        <f aca="false">AO98+MIN(AE98-AO98,MAX(0,'Start Here'!$B$10-SUM($AJ98:$AS98)-SUMPRODUCT(($Z$3:$AI$3&lt;AE$3)*($Z98:$AI98-$AJ98:$AS98))))</f>
        <v>0</v>
      </c>
      <c r="L98" s="42" t="n">
        <f aca="false">AP98+MIN(AF98-AP98,MAX(0,'Start Here'!$B$10-SUM($AJ98:$AS98)-SUMPRODUCT(($Z$3:$AI$3&lt;AF$3)*($Z98:$AI98-$AJ98:$AS98))))</f>
        <v>0</v>
      </c>
      <c r="M98" s="42" t="n">
        <f aca="false">AQ98+MIN(AG98-AQ98,MAX(0,'Start Here'!$B$10-SUM($AJ98:$AS98)-SUMPRODUCT(($Z$3:$AI$3&lt;AG$3)*($Z98:$AI98-$AJ98:$AS98))))</f>
        <v>0</v>
      </c>
      <c r="N98" s="42" t="n">
        <f aca="false">AR98+MIN(AH98-AR98,MAX(0,'Start Here'!$B$10-SUM($AJ98:$AS98)-SUMPRODUCT(($Z$3:$AI$3&lt;AH$3)*($Z98:$AI98-$AJ98:$AS98))))</f>
        <v>0</v>
      </c>
      <c r="O98" s="42" t="n">
        <f aca="false">AS98+MIN(AI98-AS98,MAX(0,'Start Here'!$B$10-SUM($AJ98:$AS98)-SUMPRODUCT(($Z$3:$AI$3&lt;AI$3)*($Z98:$AI98-$AJ98:$AS98))))</f>
        <v>0</v>
      </c>
      <c r="P98" s="42" t="n">
        <f aca="false">ROUND(Z98-F98,2)</f>
        <v>0</v>
      </c>
      <c r="Q98" s="42" t="n">
        <f aca="false">ROUND(AA98-G98,2)</f>
        <v>0</v>
      </c>
      <c r="R98" s="42" t="n">
        <f aca="false">ROUND(AB98-H98,2)</f>
        <v>0</v>
      </c>
      <c r="S98" s="42" t="n">
        <f aca="false">ROUND(AC98-I98,2)</f>
        <v>0</v>
      </c>
      <c r="T98" s="42" t="n">
        <f aca="false">ROUND(AD98-J98,2)</f>
        <v>0</v>
      </c>
      <c r="U98" s="42" t="n">
        <f aca="false">ROUND(AE98-K98,2)</f>
        <v>0</v>
      </c>
      <c r="V98" s="42" t="n">
        <f aca="false">ROUND(AF98-L98,2)</f>
        <v>0</v>
      </c>
      <c r="W98" s="42" t="n">
        <f aca="false">ROUND(AG98-M98,2)</f>
        <v>0</v>
      </c>
      <c r="X98" s="42" t="n">
        <f aca="false">ROUND(AH98-N98,2)</f>
        <v>0</v>
      </c>
      <c r="Y98" s="42" t="n">
        <f aca="false">ROUND(AI98-O98,2)</f>
        <v>0</v>
      </c>
      <c r="Z98" s="56" t="n">
        <f aca="false">ROUND(P97*(1+N(Debts!$D$5)/12),2)</f>
        <v>0</v>
      </c>
      <c r="AA98" s="56" t="n">
        <f aca="false">ROUND(Q97*(1+N(Debts!$D$6)/12),2)</f>
        <v>0</v>
      </c>
      <c r="AB98" s="56" t="n">
        <f aca="false">ROUND(R97*(1+N(Debts!$D$7)/12),2)</f>
        <v>0</v>
      </c>
      <c r="AC98" s="56" t="n">
        <f aca="false">ROUND(S97*(1+N(Debts!$D$8)/12),2)</f>
        <v>0</v>
      </c>
      <c r="AD98" s="56" t="n">
        <f aca="false">ROUND(T97*(1+N(Debts!$D$9)/12),2)</f>
        <v>0</v>
      </c>
      <c r="AE98" s="56" t="n">
        <f aca="false">ROUND(U97*(1+N(Debts!$D$10)/12),2)</f>
        <v>0</v>
      </c>
      <c r="AF98" s="56" t="n">
        <f aca="false">ROUND(V97*(1+N(Debts!$D$11)/12),2)</f>
        <v>0</v>
      </c>
      <c r="AG98" s="56" t="n">
        <f aca="false">ROUND(W97*(1+N(Debts!$D$12)/12),2)</f>
        <v>0</v>
      </c>
      <c r="AH98" s="56" t="n">
        <f aca="false">ROUND(X97*(1+N(Debts!$D$13)/12),2)</f>
        <v>0</v>
      </c>
      <c r="AI98" s="56" t="n">
        <f aca="false">ROUND(Y97*(1+N(Debts!$D$14)/12),2)</f>
        <v>0</v>
      </c>
      <c r="AJ98" s="56" t="n">
        <f aca="false">MIN(Z98,MAX(0,N(Debts!$E$5)))</f>
        <v>0</v>
      </c>
      <c r="AK98" s="56" t="n">
        <f aca="false">MIN(AA98,MAX(0,N(Debts!$E$6)))</f>
        <v>0</v>
      </c>
      <c r="AL98" s="56" t="n">
        <f aca="false">MIN(AB98,MAX(0,N(Debts!$E$7)))</f>
        <v>0</v>
      </c>
      <c r="AM98" s="56" t="n">
        <f aca="false">MIN(AC98,MAX(0,N(Debts!$E$8)))</f>
        <v>0</v>
      </c>
      <c r="AN98" s="56" t="n">
        <f aca="false">MIN(AD98,MAX(0,N(Debts!$E$9)))</f>
        <v>0</v>
      </c>
      <c r="AO98" s="56" t="n">
        <f aca="false">MIN(AE98,MAX(0,N(Debts!$E$10)))</f>
        <v>0</v>
      </c>
      <c r="AP98" s="56" t="n">
        <f aca="false">MIN(AF98,MAX(0,N(Debts!$E$11)))</f>
        <v>0</v>
      </c>
      <c r="AQ98" s="56" t="n">
        <f aca="false">MIN(AG98,MAX(0,N(Debts!$E$12)))</f>
        <v>0</v>
      </c>
      <c r="AR98" s="56" t="n">
        <f aca="false">MIN(AH98,MAX(0,N(Debts!$E$13)))</f>
        <v>0</v>
      </c>
      <c r="AS98" s="56" t="n">
        <f aca="false">MIN(AI98,MAX(0,N(Debts!$E$14)))</f>
        <v>0</v>
      </c>
    </row>
    <row r="99" customFormat="false" ht="15" hidden="false" customHeight="false" outlineLevel="0" collapsed="false">
      <c r="A99" s="53" t="n">
        <v>95</v>
      </c>
      <c r="B99" s="54" t="n">
        <f aca="false">EDATE('Start Here'!$B$8,94)</f>
        <v>49188</v>
      </c>
      <c r="C99" s="42" t="n">
        <f aca="false">SUM(F99:O99)</f>
        <v>0</v>
      </c>
      <c r="D99" s="42" t="n">
        <f aca="false">ROUND(SUM($Z99:$AI99)-SUM(P98:Y98),2)</f>
        <v>0</v>
      </c>
      <c r="E99" s="55" t="n">
        <f aca="false">SUM(P99:Y99)</f>
        <v>0</v>
      </c>
      <c r="F99" s="42" t="n">
        <f aca="false">AJ99+MIN(Z99-AJ99,MAX(0,'Start Here'!$B$10-SUM($AJ99:$AS99)-SUMPRODUCT(($Z$3:$AI$3&lt;Z$3)*($Z99:$AI99-$AJ99:$AS99))))</f>
        <v>0</v>
      </c>
      <c r="G99" s="42" t="n">
        <f aca="false">AK99+MIN(AA99-AK99,MAX(0,'Start Here'!$B$10-SUM($AJ99:$AS99)-SUMPRODUCT(($Z$3:$AI$3&lt;AA$3)*($Z99:$AI99-$AJ99:$AS99))))</f>
        <v>0</v>
      </c>
      <c r="H99" s="42" t="n">
        <f aca="false">AL99+MIN(AB99-AL99,MAX(0,'Start Here'!$B$10-SUM($AJ99:$AS99)-SUMPRODUCT(($Z$3:$AI$3&lt;AB$3)*($Z99:$AI99-$AJ99:$AS99))))</f>
        <v>0</v>
      </c>
      <c r="I99" s="42" t="n">
        <f aca="false">AM99+MIN(AC99-AM99,MAX(0,'Start Here'!$B$10-SUM($AJ99:$AS99)-SUMPRODUCT(($Z$3:$AI$3&lt;AC$3)*($Z99:$AI99-$AJ99:$AS99))))</f>
        <v>0</v>
      </c>
      <c r="J99" s="42" t="n">
        <f aca="false">AN99+MIN(AD99-AN99,MAX(0,'Start Here'!$B$10-SUM($AJ99:$AS99)-SUMPRODUCT(($Z$3:$AI$3&lt;AD$3)*($Z99:$AI99-$AJ99:$AS99))))</f>
        <v>0</v>
      </c>
      <c r="K99" s="42" t="n">
        <f aca="false">AO99+MIN(AE99-AO99,MAX(0,'Start Here'!$B$10-SUM($AJ99:$AS99)-SUMPRODUCT(($Z$3:$AI$3&lt;AE$3)*($Z99:$AI99-$AJ99:$AS99))))</f>
        <v>0</v>
      </c>
      <c r="L99" s="42" t="n">
        <f aca="false">AP99+MIN(AF99-AP99,MAX(0,'Start Here'!$B$10-SUM($AJ99:$AS99)-SUMPRODUCT(($Z$3:$AI$3&lt;AF$3)*($Z99:$AI99-$AJ99:$AS99))))</f>
        <v>0</v>
      </c>
      <c r="M99" s="42" t="n">
        <f aca="false">AQ99+MIN(AG99-AQ99,MAX(0,'Start Here'!$B$10-SUM($AJ99:$AS99)-SUMPRODUCT(($Z$3:$AI$3&lt;AG$3)*($Z99:$AI99-$AJ99:$AS99))))</f>
        <v>0</v>
      </c>
      <c r="N99" s="42" t="n">
        <f aca="false">AR99+MIN(AH99-AR99,MAX(0,'Start Here'!$B$10-SUM($AJ99:$AS99)-SUMPRODUCT(($Z$3:$AI$3&lt;AH$3)*($Z99:$AI99-$AJ99:$AS99))))</f>
        <v>0</v>
      </c>
      <c r="O99" s="42" t="n">
        <f aca="false">AS99+MIN(AI99-AS99,MAX(0,'Start Here'!$B$10-SUM($AJ99:$AS99)-SUMPRODUCT(($Z$3:$AI$3&lt;AI$3)*($Z99:$AI99-$AJ99:$AS99))))</f>
        <v>0</v>
      </c>
      <c r="P99" s="42" t="n">
        <f aca="false">ROUND(Z99-F99,2)</f>
        <v>0</v>
      </c>
      <c r="Q99" s="42" t="n">
        <f aca="false">ROUND(AA99-G99,2)</f>
        <v>0</v>
      </c>
      <c r="R99" s="42" t="n">
        <f aca="false">ROUND(AB99-H99,2)</f>
        <v>0</v>
      </c>
      <c r="S99" s="42" t="n">
        <f aca="false">ROUND(AC99-I99,2)</f>
        <v>0</v>
      </c>
      <c r="T99" s="42" t="n">
        <f aca="false">ROUND(AD99-J99,2)</f>
        <v>0</v>
      </c>
      <c r="U99" s="42" t="n">
        <f aca="false">ROUND(AE99-K99,2)</f>
        <v>0</v>
      </c>
      <c r="V99" s="42" t="n">
        <f aca="false">ROUND(AF99-L99,2)</f>
        <v>0</v>
      </c>
      <c r="W99" s="42" t="n">
        <f aca="false">ROUND(AG99-M99,2)</f>
        <v>0</v>
      </c>
      <c r="X99" s="42" t="n">
        <f aca="false">ROUND(AH99-N99,2)</f>
        <v>0</v>
      </c>
      <c r="Y99" s="42" t="n">
        <f aca="false">ROUND(AI99-O99,2)</f>
        <v>0</v>
      </c>
      <c r="Z99" s="56" t="n">
        <f aca="false">ROUND(P98*(1+N(Debts!$D$5)/12),2)</f>
        <v>0</v>
      </c>
      <c r="AA99" s="56" t="n">
        <f aca="false">ROUND(Q98*(1+N(Debts!$D$6)/12),2)</f>
        <v>0</v>
      </c>
      <c r="AB99" s="56" t="n">
        <f aca="false">ROUND(R98*(1+N(Debts!$D$7)/12),2)</f>
        <v>0</v>
      </c>
      <c r="AC99" s="56" t="n">
        <f aca="false">ROUND(S98*(1+N(Debts!$D$8)/12),2)</f>
        <v>0</v>
      </c>
      <c r="AD99" s="56" t="n">
        <f aca="false">ROUND(T98*(1+N(Debts!$D$9)/12),2)</f>
        <v>0</v>
      </c>
      <c r="AE99" s="56" t="n">
        <f aca="false">ROUND(U98*(1+N(Debts!$D$10)/12),2)</f>
        <v>0</v>
      </c>
      <c r="AF99" s="56" t="n">
        <f aca="false">ROUND(V98*(1+N(Debts!$D$11)/12),2)</f>
        <v>0</v>
      </c>
      <c r="AG99" s="56" t="n">
        <f aca="false">ROUND(W98*(1+N(Debts!$D$12)/12),2)</f>
        <v>0</v>
      </c>
      <c r="AH99" s="56" t="n">
        <f aca="false">ROUND(X98*(1+N(Debts!$D$13)/12),2)</f>
        <v>0</v>
      </c>
      <c r="AI99" s="56" t="n">
        <f aca="false">ROUND(Y98*(1+N(Debts!$D$14)/12),2)</f>
        <v>0</v>
      </c>
      <c r="AJ99" s="56" t="n">
        <f aca="false">MIN(Z99,MAX(0,N(Debts!$E$5)))</f>
        <v>0</v>
      </c>
      <c r="AK99" s="56" t="n">
        <f aca="false">MIN(AA99,MAX(0,N(Debts!$E$6)))</f>
        <v>0</v>
      </c>
      <c r="AL99" s="56" t="n">
        <f aca="false">MIN(AB99,MAX(0,N(Debts!$E$7)))</f>
        <v>0</v>
      </c>
      <c r="AM99" s="56" t="n">
        <f aca="false">MIN(AC99,MAX(0,N(Debts!$E$8)))</f>
        <v>0</v>
      </c>
      <c r="AN99" s="56" t="n">
        <f aca="false">MIN(AD99,MAX(0,N(Debts!$E$9)))</f>
        <v>0</v>
      </c>
      <c r="AO99" s="56" t="n">
        <f aca="false">MIN(AE99,MAX(0,N(Debts!$E$10)))</f>
        <v>0</v>
      </c>
      <c r="AP99" s="56" t="n">
        <f aca="false">MIN(AF99,MAX(0,N(Debts!$E$11)))</f>
        <v>0</v>
      </c>
      <c r="AQ99" s="56" t="n">
        <f aca="false">MIN(AG99,MAX(0,N(Debts!$E$12)))</f>
        <v>0</v>
      </c>
      <c r="AR99" s="56" t="n">
        <f aca="false">MIN(AH99,MAX(0,N(Debts!$E$13)))</f>
        <v>0</v>
      </c>
      <c r="AS99" s="56" t="n">
        <f aca="false">MIN(AI99,MAX(0,N(Debts!$E$14)))</f>
        <v>0</v>
      </c>
    </row>
    <row r="100" customFormat="false" ht="15" hidden="false" customHeight="false" outlineLevel="0" collapsed="false">
      <c r="A100" s="53" t="n">
        <v>96</v>
      </c>
      <c r="B100" s="54" t="n">
        <f aca="false">EDATE('Start Here'!$B$8,95)</f>
        <v>49218</v>
      </c>
      <c r="C100" s="42" t="n">
        <f aca="false">SUM(F100:O100)</f>
        <v>0</v>
      </c>
      <c r="D100" s="42" t="n">
        <f aca="false">ROUND(SUM($Z100:$AI100)-SUM(P99:Y99),2)</f>
        <v>0</v>
      </c>
      <c r="E100" s="55" t="n">
        <f aca="false">SUM(P100:Y100)</f>
        <v>0</v>
      </c>
      <c r="F100" s="42" t="n">
        <f aca="false">AJ100+MIN(Z100-AJ100,MAX(0,'Start Here'!$B$10-SUM($AJ100:$AS100)-SUMPRODUCT(($Z$3:$AI$3&lt;Z$3)*($Z100:$AI100-$AJ100:$AS100))))</f>
        <v>0</v>
      </c>
      <c r="G100" s="42" t="n">
        <f aca="false">AK100+MIN(AA100-AK100,MAX(0,'Start Here'!$B$10-SUM($AJ100:$AS100)-SUMPRODUCT(($Z$3:$AI$3&lt;AA$3)*($Z100:$AI100-$AJ100:$AS100))))</f>
        <v>0</v>
      </c>
      <c r="H100" s="42" t="n">
        <f aca="false">AL100+MIN(AB100-AL100,MAX(0,'Start Here'!$B$10-SUM($AJ100:$AS100)-SUMPRODUCT(($Z$3:$AI$3&lt;AB$3)*($Z100:$AI100-$AJ100:$AS100))))</f>
        <v>0</v>
      </c>
      <c r="I100" s="42" t="n">
        <f aca="false">AM100+MIN(AC100-AM100,MAX(0,'Start Here'!$B$10-SUM($AJ100:$AS100)-SUMPRODUCT(($Z$3:$AI$3&lt;AC$3)*($Z100:$AI100-$AJ100:$AS100))))</f>
        <v>0</v>
      </c>
      <c r="J100" s="42" t="n">
        <f aca="false">AN100+MIN(AD100-AN100,MAX(0,'Start Here'!$B$10-SUM($AJ100:$AS100)-SUMPRODUCT(($Z$3:$AI$3&lt;AD$3)*($Z100:$AI100-$AJ100:$AS100))))</f>
        <v>0</v>
      </c>
      <c r="K100" s="42" t="n">
        <f aca="false">AO100+MIN(AE100-AO100,MAX(0,'Start Here'!$B$10-SUM($AJ100:$AS100)-SUMPRODUCT(($Z$3:$AI$3&lt;AE$3)*($Z100:$AI100-$AJ100:$AS100))))</f>
        <v>0</v>
      </c>
      <c r="L100" s="42" t="n">
        <f aca="false">AP100+MIN(AF100-AP100,MAX(0,'Start Here'!$B$10-SUM($AJ100:$AS100)-SUMPRODUCT(($Z$3:$AI$3&lt;AF$3)*($Z100:$AI100-$AJ100:$AS100))))</f>
        <v>0</v>
      </c>
      <c r="M100" s="42" t="n">
        <f aca="false">AQ100+MIN(AG100-AQ100,MAX(0,'Start Here'!$B$10-SUM($AJ100:$AS100)-SUMPRODUCT(($Z$3:$AI$3&lt;AG$3)*($Z100:$AI100-$AJ100:$AS100))))</f>
        <v>0</v>
      </c>
      <c r="N100" s="42" t="n">
        <f aca="false">AR100+MIN(AH100-AR100,MAX(0,'Start Here'!$B$10-SUM($AJ100:$AS100)-SUMPRODUCT(($Z$3:$AI$3&lt;AH$3)*($Z100:$AI100-$AJ100:$AS100))))</f>
        <v>0</v>
      </c>
      <c r="O100" s="42" t="n">
        <f aca="false">AS100+MIN(AI100-AS100,MAX(0,'Start Here'!$B$10-SUM($AJ100:$AS100)-SUMPRODUCT(($Z$3:$AI$3&lt;AI$3)*($Z100:$AI100-$AJ100:$AS100))))</f>
        <v>0</v>
      </c>
      <c r="P100" s="42" t="n">
        <f aca="false">ROUND(Z100-F100,2)</f>
        <v>0</v>
      </c>
      <c r="Q100" s="42" t="n">
        <f aca="false">ROUND(AA100-G100,2)</f>
        <v>0</v>
      </c>
      <c r="R100" s="42" t="n">
        <f aca="false">ROUND(AB100-H100,2)</f>
        <v>0</v>
      </c>
      <c r="S100" s="42" t="n">
        <f aca="false">ROUND(AC100-I100,2)</f>
        <v>0</v>
      </c>
      <c r="T100" s="42" t="n">
        <f aca="false">ROUND(AD100-J100,2)</f>
        <v>0</v>
      </c>
      <c r="U100" s="42" t="n">
        <f aca="false">ROUND(AE100-K100,2)</f>
        <v>0</v>
      </c>
      <c r="V100" s="42" t="n">
        <f aca="false">ROUND(AF100-L100,2)</f>
        <v>0</v>
      </c>
      <c r="W100" s="42" t="n">
        <f aca="false">ROUND(AG100-M100,2)</f>
        <v>0</v>
      </c>
      <c r="X100" s="42" t="n">
        <f aca="false">ROUND(AH100-N100,2)</f>
        <v>0</v>
      </c>
      <c r="Y100" s="42" t="n">
        <f aca="false">ROUND(AI100-O100,2)</f>
        <v>0</v>
      </c>
      <c r="Z100" s="56" t="n">
        <f aca="false">ROUND(P99*(1+N(Debts!$D$5)/12),2)</f>
        <v>0</v>
      </c>
      <c r="AA100" s="56" t="n">
        <f aca="false">ROUND(Q99*(1+N(Debts!$D$6)/12),2)</f>
        <v>0</v>
      </c>
      <c r="AB100" s="56" t="n">
        <f aca="false">ROUND(R99*(1+N(Debts!$D$7)/12),2)</f>
        <v>0</v>
      </c>
      <c r="AC100" s="56" t="n">
        <f aca="false">ROUND(S99*(1+N(Debts!$D$8)/12),2)</f>
        <v>0</v>
      </c>
      <c r="AD100" s="56" t="n">
        <f aca="false">ROUND(T99*(1+N(Debts!$D$9)/12),2)</f>
        <v>0</v>
      </c>
      <c r="AE100" s="56" t="n">
        <f aca="false">ROUND(U99*(1+N(Debts!$D$10)/12),2)</f>
        <v>0</v>
      </c>
      <c r="AF100" s="56" t="n">
        <f aca="false">ROUND(V99*(1+N(Debts!$D$11)/12),2)</f>
        <v>0</v>
      </c>
      <c r="AG100" s="56" t="n">
        <f aca="false">ROUND(W99*(1+N(Debts!$D$12)/12),2)</f>
        <v>0</v>
      </c>
      <c r="AH100" s="56" t="n">
        <f aca="false">ROUND(X99*(1+N(Debts!$D$13)/12),2)</f>
        <v>0</v>
      </c>
      <c r="AI100" s="56" t="n">
        <f aca="false">ROUND(Y99*(1+N(Debts!$D$14)/12),2)</f>
        <v>0</v>
      </c>
      <c r="AJ100" s="56" t="n">
        <f aca="false">MIN(Z100,MAX(0,N(Debts!$E$5)))</f>
        <v>0</v>
      </c>
      <c r="AK100" s="56" t="n">
        <f aca="false">MIN(AA100,MAX(0,N(Debts!$E$6)))</f>
        <v>0</v>
      </c>
      <c r="AL100" s="56" t="n">
        <f aca="false">MIN(AB100,MAX(0,N(Debts!$E$7)))</f>
        <v>0</v>
      </c>
      <c r="AM100" s="56" t="n">
        <f aca="false">MIN(AC100,MAX(0,N(Debts!$E$8)))</f>
        <v>0</v>
      </c>
      <c r="AN100" s="56" t="n">
        <f aca="false">MIN(AD100,MAX(0,N(Debts!$E$9)))</f>
        <v>0</v>
      </c>
      <c r="AO100" s="56" t="n">
        <f aca="false">MIN(AE100,MAX(0,N(Debts!$E$10)))</f>
        <v>0</v>
      </c>
      <c r="AP100" s="56" t="n">
        <f aca="false">MIN(AF100,MAX(0,N(Debts!$E$11)))</f>
        <v>0</v>
      </c>
      <c r="AQ100" s="56" t="n">
        <f aca="false">MIN(AG100,MAX(0,N(Debts!$E$12)))</f>
        <v>0</v>
      </c>
      <c r="AR100" s="56" t="n">
        <f aca="false">MIN(AH100,MAX(0,N(Debts!$E$13)))</f>
        <v>0</v>
      </c>
      <c r="AS100" s="56" t="n">
        <f aca="false">MIN(AI100,MAX(0,N(Debts!$E$14)))</f>
        <v>0</v>
      </c>
    </row>
    <row r="101" customFormat="false" ht="15" hidden="false" customHeight="false" outlineLevel="0" collapsed="false">
      <c r="A101" s="53" t="n">
        <v>97</v>
      </c>
      <c r="B101" s="54" t="n">
        <f aca="false">EDATE('Start Here'!$B$8,96)</f>
        <v>49249</v>
      </c>
      <c r="C101" s="42" t="n">
        <f aca="false">SUM(F101:O101)</f>
        <v>0</v>
      </c>
      <c r="D101" s="42" t="n">
        <f aca="false">ROUND(SUM($Z101:$AI101)-SUM(P100:Y100),2)</f>
        <v>0</v>
      </c>
      <c r="E101" s="55" t="n">
        <f aca="false">SUM(P101:Y101)</f>
        <v>0</v>
      </c>
      <c r="F101" s="42" t="n">
        <f aca="false">AJ101+MIN(Z101-AJ101,MAX(0,'Start Here'!$B$10-SUM($AJ101:$AS101)-SUMPRODUCT(($Z$3:$AI$3&lt;Z$3)*($Z101:$AI101-$AJ101:$AS101))))</f>
        <v>0</v>
      </c>
      <c r="G101" s="42" t="n">
        <f aca="false">AK101+MIN(AA101-AK101,MAX(0,'Start Here'!$B$10-SUM($AJ101:$AS101)-SUMPRODUCT(($Z$3:$AI$3&lt;AA$3)*($Z101:$AI101-$AJ101:$AS101))))</f>
        <v>0</v>
      </c>
      <c r="H101" s="42" t="n">
        <f aca="false">AL101+MIN(AB101-AL101,MAX(0,'Start Here'!$B$10-SUM($AJ101:$AS101)-SUMPRODUCT(($Z$3:$AI$3&lt;AB$3)*($Z101:$AI101-$AJ101:$AS101))))</f>
        <v>0</v>
      </c>
      <c r="I101" s="42" t="n">
        <f aca="false">AM101+MIN(AC101-AM101,MAX(0,'Start Here'!$B$10-SUM($AJ101:$AS101)-SUMPRODUCT(($Z$3:$AI$3&lt;AC$3)*($Z101:$AI101-$AJ101:$AS101))))</f>
        <v>0</v>
      </c>
      <c r="J101" s="42" t="n">
        <f aca="false">AN101+MIN(AD101-AN101,MAX(0,'Start Here'!$B$10-SUM($AJ101:$AS101)-SUMPRODUCT(($Z$3:$AI$3&lt;AD$3)*($Z101:$AI101-$AJ101:$AS101))))</f>
        <v>0</v>
      </c>
      <c r="K101" s="42" t="n">
        <f aca="false">AO101+MIN(AE101-AO101,MAX(0,'Start Here'!$B$10-SUM($AJ101:$AS101)-SUMPRODUCT(($Z$3:$AI$3&lt;AE$3)*($Z101:$AI101-$AJ101:$AS101))))</f>
        <v>0</v>
      </c>
      <c r="L101" s="42" t="n">
        <f aca="false">AP101+MIN(AF101-AP101,MAX(0,'Start Here'!$B$10-SUM($AJ101:$AS101)-SUMPRODUCT(($Z$3:$AI$3&lt;AF$3)*($Z101:$AI101-$AJ101:$AS101))))</f>
        <v>0</v>
      </c>
      <c r="M101" s="42" t="n">
        <f aca="false">AQ101+MIN(AG101-AQ101,MAX(0,'Start Here'!$B$10-SUM($AJ101:$AS101)-SUMPRODUCT(($Z$3:$AI$3&lt;AG$3)*($Z101:$AI101-$AJ101:$AS101))))</f>
        <v>0</v>
      </c>
      <c r="N101" s="42" t="n">
        <f aca="false">AR101+MIN(AH101-AR101,MAX(0,'Start Here'!$B$10-SUM($AJ101:$AS101)-SUMPRODUCT(($Z$3:$AI$3&lt;AH$3)*($Z101:$AI101-$AJ101:$AS101))))</f>
        <v>0</v>
      </c>
      <c r="O101" s="42" t="n">
        <f aca="false">AS101+MIN(AI101-AS101,MAX(0,'Start Here'!$B$10-SUM($AJ101:$AS101)-SUMPRODUCT(($Z$3:$AI$3&lt;AI$3)*($Z101:$AI101-$AJ101:$AS101))))</f>
        <v>0</v>
      </c>
      <c r="P101" s="42" t="n">
        <f aca="false">ROUND(Z101-F101,2)</f>
        <v>0</v>
      </c>
      <c r="Q101" s="42" t="n">
        <f aca="false">ROUND(AA101-G101,2)</f>
        <v>0</v>
      </c>
      <c r="R101" s="42" t="n">
        <f aca="false">ROUND(AB101-H101,2)</f>
        <v>0</v>
      </c>
      <c r="S101" s="42" t="n">
        <f aca="false">ROUND(AC101-I101,2)</f>
        <v>0</v>
      </c>
      <c r="T101" s="42" t="n">
        <f aca="false">ROUND(AD101-J101,2)</f>
        <v>0</v>
      </c>
      <c r="U101" s="42" t="n">
        <f aca="false">ROUND(AE101-K101,2)</f>
        <v>0</v>
      </c>
      <c r="V101" s="42" t="n">
        <f aca="false">ROUND(AF101-L101,2)</f>
        <v>0</v>
      </c>
      <c r="W101" s="42" t="n">
        <f aca="false">ROUND(AG101-M101,2)</f>
        <v>0</v>
      </c>
      <c r="X101" s="42" t="n">
        <f aca="false">ROUND(AH101-N101,2)</f>
        <v>0</v>
      </c>
      <c r="Y101" s="42" t="n">
        <f aca="false">ROUND(AI101-O101,2)</f>
        <v>0</v>
      </c>
      <c r="Z101" s="56" t="n">
        <f aca="false">ROUND(P100*(1+N(Debts!$D$5)/12),2)</f>
        <v>0</v>
      </c>
      <c r="AA101" s="56" t="n">
        <f aca="false">ROUND(Q100*(1+N(Debts!$D$6)/12),2)</f>
        <v>0</v>
      </c>
      <c r="AB101" s="56" t="n">
        <f aca="false">ROUND(R100*(1+N(Debts!$D$7)/12),2)</f>
        <v>0</v>
      </c>
      <c r="AC101" s="56" t="n">
        <f aca="false">ROUND(S100*(1+N(Debts!$D$8)/12),2)</f>
        <v>0</v>
      </c>
      <c r="AD101" s="56" t="n">
        <f aca="false">ROUND(T100*(1+N(Debts!$D$9)/12),2)</f>
        <v>0</v>
      </c>
      <c r="AE101" s="56" t="n">
        <f aca="false">ROUND(U100*(1+N(Debts!$D$10)/12),2)</f>
        <v>0</v>
      </c>
      <c r="AF101" s="56" t="n">
        <f aca="false">ROUND(V100*(1+N(Debts!$D$11)/12),2)</f>
        <v>0</v>
      </c>
      <c r="AG101" s="56" t="n">
        <f aca="false">ROUND(W100*(1+N(Debts!$D$12)/12),2)</f>
        <v>0</v>
      </c>
      <c r="AH101" s="56" t="n">
        <f aca="false">ROUND(X100*(1+N(Debts!$D$13)/12),2)</f>
        <v>0</v>
      </c>
      <c r="AI101" s="56" t="n">
        <f aca="false">ROUND(Y100*(1+N(Debts!$D$14)/12),2)</f>
        <v>0</v>
      </c>
      <c r="AJ101" s="56" t="n">
        <f aca="false">MIN(Z101,MAX(0,N(Debts!$E$5)))</f>
        <v>0</v>
      </c>
      <c r="AK101" s="56" t="n">
        <f aca="false">MIN(AA101,MAX(0,N(Debts!$E$6)))</f>
        <v>0</v>
      </c>
      <c r="AL101" s="56" t="n">
        <f aca="false">MIN(AB101,MAX(0,N(Debts!$E$7)))</f>
        <v>0</v>
      </c>
      <c r="AM101" s="56" t="n">
        <f aca="false">MIN(AC101,MAX(0,N(Debts!$E$8)))</f>
        <v>0</v>
      </c>
      <c r="AN101" s="56" t="n">
        <f aca="false">MIN(AD101,MAX(0,N(Debts!$E$9)))</f>
        <v>0</v>
      </c>
      <c r="AO101" s="56" t="n">
        <f aca="false">MIN(AE101,MAX(0,N(Debts!$E$10)))</f>
        <v>0</v>
      </c>
      <c r="AP101" s="56" t="n">
        <f aca="false">MIN(AF101,MAX(0,N(Debts!$E$11)))</f>
        <v>0</v>
      </c>
      <c r="AQ101" s="56" t="n">
        <f aca="false">MIN(AG101,MAX(0,N(Debts!$E$12)))</f>
        <v>0</v>
      </c>
      <c r="AR101" s="56" t="n">
        <f aca="false">MIN(AH101,MAX(0,N(Debts!$E$13)))</f>
        <v>0</v>
      </c>
      <c r="AS101" s="56" t="n">
        <f aca="false">MIN(AI101,MAX(0,N(Debts!$E$14)))</f>
        <v>0</v>
      </c>
    </row>
    <row r="102" customFormat="false" ht="15" hidden="false" customHeight="false" outlineLevel="0" collapsed="false">
      <c r="A102" s="53" t="n">
        <v>98</v>
      </c>
      <c r="B102" s="54" t="n">
        <f aca="false">EDATE('Start Here'!$B$8,97)</f>
        <v>49279</v>
      </c>
      <c r="C102" s="42" t="n">
        <f aca="false">SUM(F102:O102)</f>
        <v>0</v>
      </c>
      <c r="D102" s="42" t="n">
        <f aca="false">ROUND(SUM($Z102:$AI102)-SUM(P101:Y101),2)</f>
        <v>0</v>
      </c>
      <c r="E102" s="55" t="n">
        <f aca="false">SUM(P102:Y102)</f>
        <v>0</v>
      </c>
      <c r="F102" s="42" t="n">
        <f aca="false">AJ102+MIN(Z102-AJ102,MAX(0,'Start Here'!$B$10-SUM($AJ102:$AS102)-SUMPRODUCT(($Z$3:$AI$3&lt;Z$3)*($Z102:$AI102-$AJ102:$AS102))))</f>
        <v>0</v>
      </c>
      <c r="G102" s="42" t="n">
        <f aca="false">AK102+MIN(AA102-AK102,MAX(0,'Start Here'!$B$10-SUM($AJ102:$AS102)-SUMPRODUCT(($Z$3:$AI$3&lt;AA$3)*($Z102:$AI102-$AJ102:$AS102))))</f>
        <v>0</v>
      </c>
      <c r="H102" s="42" t="n">
        <f aca="false">AL102+MIN(AB102-AL102,MAX(0,'Start Here'!$B$10-SUM($AJ102:$AS102)-SUMPRODUCT(($Z$3:$AI$3&lt;AB$3)*($Z102:$AI102-$AJ102:$AS102))))</f>
        <v>0</v>
      </c>
      <c r="I102" s="42" t="n">
        <f aca="false">AM102+MIN(AC102-AM102,MAX(0,'Start Here'!$B$10-SUM($AJ102:$AS102)-SUMPRODUCT(($Z$3:$AI$3&lt;AC$3)*($Z102:$AI102-$AJ102:$AS102))))</f>
        <v>0</v>
      </c>
      <c r="J102" s="42" t="n">
        <f aca="false">AN102+MIN(AD102-AN102,MAX(0,'Start Here'!$B$10-SUM($AJ102:$AS102)-SUMPRODUCT(($Z$3:$AI$3&lt;AD$3)*($Z102:$AI102-$AJ102:$AS102))))</f>
        <v>0</v>
      </c>
      <c r="K102" s="42" t="n">
        <f aca="false">AO102+MIN(AE102-AO102,MAX(0,'Start Here'!$B$10-SUM($AJ102:$AS102)-SUMPRODUCT(($Z$3:$AI$3&lt;AE$3)*($Z102:$AI102-$AJ102:$AS102))))</f>
        <v>0</v>
      </c>
      <c r="L102" s="42" t="n">
        <f aca="false">AP102+MIN(AF102-AP102,MAX(0,'Start Here'!$B$10-SUM($AJ102:$AS102)-SUMPRODUCT(($Z$3:$AI$3&lt;AF$3)*($Z102:$AI102-$AJ102:$AS102))))</f>
        <v>0</v>
      </c>
      <c r="M102" s="42" t="n">
        <f aca="false">AQ102+MIN(AG102-AQ102,MAX(0,'Start Here'!$B$10-SUM($AJ102:$AS102)-SUMPRODUCT(($Z$3:$AI$3&lt;AG$3)*($Z102:$AI102-$AJ102:$AS102))))</f>
        <v>0</v>
      </c>
      <c r="N102" s="42" t="n">
        <f aca="false">AR102+MIN(AH102-AR102,MAX(0,'Start Here'!$B$10-SUM($AJ102:$AS102)-SUMPRODUCT(($Z$3:$AI$3&lt;AH$3)*($Z102:$AI102-$AJ102:$AS102))))</f>
        <v>0</v>
      </c>
      <c r="O102" s="42" t="n">
        <f aca="false">AS102+MIN(AI102-AS102,MAX(0,'Start Here'!$B$10-SUM($AJ102:$AS102)-SUMPRODUCT(($Z$3:$AI$3&lt;AI$3)*($Z102:$AI102-$AJ102:$AS102))))</f>
        <v>0</v>
      </c>
      <c r="P102" s="42" t="n">
        <f aca="false">ROUND(Z102-F102,2)</f>
        <v>0</v>
      </c>
      <c r="Q102" s="42" t="n">
        <f aca="false">ROUND(AA102-G102,2)</f>
        <v>0</v>
      </c>
      <c r="R102" s="42" t="n">
        <f aca="false">ROUND(AB102-H102,2)</f>
        <v>0</v>
      </c>
      <c r="S102" s="42" t="n">
        <f aca="false">ROUND(AC102-I102,2)</f>
        <v>0</v>
      </c>
      <c r="T102" s="42" t="n">
        <f aca="false">ROUND(AD102-J102,2)</f>
        <v>0</v>
      </c>
      <c r="U102" s="42" t="n">
        <f aca="false">ROUND(AE102-K102,2)</f>
        <v>0</v>
      </c>
      <c r="V102" s="42" t="n">
        <f aca="false">ROUND(AF102-L102,2)</f>
        <v>0</v>
      </c>
      <c r="W102" s="42" t="n">
        <f aca="false">ROUND(AG102-M102,2)</f>
        <v>0</v>
      </c>
      <c r="X102" s="42" t="n">
        <f aca="false">ROUND(AH102-N102,2)</f>
        <v>0</v>
      </c>
      <c r="Y102" s="42" t="n">
        <f aca="false">ROUND(AI102-O102,2)</f>
        <v>0</v>
      </c>
      <c r="Z102" s="56" t="n">
        <f aca="false">ROUND(P101*(1+N(Debts!$D$5)/12),2)</f>
        <v>0</v>
      </c>
      <c r="AA102" s="56" t="n">
        <f aca="false">ROUND(Q101*(1+N(Debts!$D$6)/12),2)</f>
        <v>0</v>
      </c>
      <c r="AB102" s="56" t="n">
        <f aca="false">ROUND(R101*(1+N(Debts!$D$7)/12),2)</f>
        <v>0</v>
      </c>
      <c r="AC102" s="56" t="n">
        <f aca="false">ROUND(S101*(1+N(Debts!$D$8)/12),2)</f>
        <v>0</v>
      </c>
      <c r="AD102" s="56" t="n">
        <f aca="false">ROUND(T101*(1+N(Debts!$D$9)/12),2)</f>
        <v>0</v>
      </c>
      <c r="AE102" s="56" t="n">
        <f aca="false">ROUND(U101*(1+N(Debts!$D$10)/12),2)</f>
        <v>0</v>
      </c>
      <c r="AF102" s="56" t="n">
        <f aca="false">ROUND(V101*(1+N(Debts!$D$11)/12),2)</f>
        <v>0</v>
      </c>
      <c r="AG102" s="56" t="n">
        <f aca="false">ROUND(W101*(1+N(Debts!$D$12)/12),2)</f>
        <v>0</v>
      </c>
      <c r="AH102" s="56" t="n">
        <f aca="false">ROUND(X101*(1+N(Debts!$D$13)/12),2)</f>
        <v>0</v>
      </c>
      <c r="AI102" s="56" t="n">
        <f aca="false">ROUND(Y101*(1+N(Debts!$D$14)/12),2)</f>
        <v>0</v>
      </c>
      <c r="AJ102" s="56" t="n">
        <f aca="false">MIN(Z102,MAX(0,N(Debts!$E$5)))</f>
        <v>0</v>
      </c>
      <c r="AK102" s="56" t="n">
        <f aca="false">MIN(AA102,MAX(0,N(Debts!$E$6)))</f>
        <v>0</v>
      </c>
      <c r="AL102" s="56" t="n">
        <f aca="false">MIN(AB102,MAX(0,N(Debts!$E$7)))</f>
        <v>0</v>
      </c>
      <c r="AM102" s="56" t="n">
        <f aca="false">MIN(AC102,MAX(0,N(Debts!$E$8)))</f>
        <v>0</v>
      </c>
      <c r="AN102" s="56" t="n">
        <f aca="false">MIN(AD102,MAX(0,N(Debts!$E$9)))</f>
        <v>0</v>
      </c>
      <c r="AO102" s="56" t="n">
        <f aca="false">MIN(AE102,MAX(0,N(Debts!$E$10)))</f>
        <v>0</v>
      </c>
      <c r="AP102" s="56" t="n">
        <f aca="false">MIN(AF102,MAX(0,N(Debts!$E$11)))</f>
        <v>0</v>
      </c>
      <c r="AQ102" s="56" t="n">
        <f aca="false">MIN(AG102,MAX(0,N(Debts!$E$12)))</f>
        <v>0</v>
      </c>
      <c r="AR102" s="56" t="n">
        <f aca="false">MIN(AH102,MAX(0,N(Debts!$E$13)))</f>
        <v>0</v>
      </c>
      <c r="AS102" s="56" t="n">
        <f aca="false">MIN(AI102,MAX(0,N(Debts!$E$14)))</f>
        <v>0</v>
      </c>
    </row>
    <row r="103" customFormat="false" ht="15" hidden="false" customHeight="false" outlineLevel="0" collapsed="false">
      <c r="A103" s="53" t="n">
        <v>99</v>
      </c>
      <c r="B103" s="54" t="n">
        <f aca="false">EDATE('Start Here'!$B$8,98)</f>
        <v>49310</v>
      </c>
      <c r="C103" s="42" t="n">
        <f aca="false">SUM(F103:O103)</f>
        <v>0</v>
      </c>
      <c r="D103" s="42" t="n">
        <f aca="false">ROUND(SUM($Z103:$AI103)-SUM(P102:Y102),2)</f>
        <v>0</v>
      </c>
      <c r="E103" s="55" t="n">
        <f aca="false">SUM(P103:Y103)</f>
        <v>0</v>
      </c>
      <c r="F103" s="42" t="n">
        <f aca="false">AJ103+MIN(Z103-AJ103,MAX(0,'Start Here'!$B$10-SUM($AJ103:$AS103)-SUMPRODUCT(($Z$3:$AI$3&lt;Z$3)*($Z103:$AI103-$AJ103:$AS103))))</f>
        <v>0</v>
      </c>
      <c r="G103" s="42" t="n">
        <f aca="false">AK103+MIN(AA103-AK103,MAX(0,'Start Here'!$B$10-SUM($AJ103:$AS103)-SUMPRODUCT(($Z$3:$AI$3&lt;AA$3)*($Z103:$AI103-$AJ103:$AS103))))</f>
        <v>0</v>
      </c>
      <c r="H103" s="42" t="n">
        <f aca="false">AL103+MIN(AB103-AL103,MAX(0,'Start Here'!$B$10-SUM($AJ103:$AS103)-SUMPRODUCT(($Z$3:$AI$3&lt;AB$3)*($Z103:$AI103-$AJ103:$AS103))))</f>
        <v>0</v>
      </c>
      <c r="I103" s="42" t="n">
        <f aca="false">AM103+MIN(AC103-AM103,MAX(0,'Start Here'!$B$10-SUM($AJ103:$AS103)-SUMPRODUCT(($Z$3:$AI$3&lt;AC$3)*($Z103:$AI103-$AJ103:$AS103))))</f>
        <v>0</v>
      </c>
      <c r="J103" s="42" t="n">
        <f aca="false">AN103+MIN(AD103-AN103,MAX(0,'Start Here'!$B$10-SUM($AJ103:$AS103)-SUMPRODUCT(($Z$3:$AI$3&lt;AD$3)*($Z103:$AI103-$AJ103:$AS103))))</f>
        <v>0</v>
      </c>
      <c r="K103" s="42" t="n">
        <f aca="false">AO103+MIN(AE103-AO103,MAX(0,'Start Here'!$B$10-SUM($AJ103:$AS103)-SUMPRODUCT(($Z$3:$AI$3&lt;AE$3)*($Z103:$AI103-$AJ103:$AS103))))</f>
        <v>0</v>
      </c>
      <c r="L103" s="42" t="n">
        <f aca="false">AP103+MIN(AF103-AP103,MAX(0,'Start Here'!$B$10-SUM($AJ103:$AS103)-SUMPRODUCT(($Z$3:$AI$3&lt;AF$3)*($Z103:$AI103-$AJ103:$AS103))))</f>
        <v>0</v>
      </c>
      <c r="M103" s="42" t="n">
        <f aca="false">AQ103+MIN(AG103-AQ103,MAX(0,'Start Here'!$B$10-SUM($AJ103:$AS103)-SUMPRODUCT(($Z$3:$AI$3&lt;AG$3)*($Z103:$AI103-$AJ103:$AS103))))</f>
        <v>0</v>
      </c>
      <c r="N103" s="42" t="n">
        <f aca="false">AR103+MIN(AH103-AR103,MAX(0,'Start Here'!$B$10-SUM($AJ103:$AS103)-SUMPRODUCT(($Z$3:$AI$3&lt;AH$3)*($Z103:$AI103-$AJ103:$AS103))))</f>
        <v>0</v>
      </c>
      <c r="O103" s="42" t="n">
        <f aca="false">AS103+MIN(AI103-AS103,MAX(0,'Start Here'!$B$10-SUM($AJ103:$AS103)-SUMPRODUCT(($Z$3:$AI$3&lt;AI$3)*($Z103:$AI103-$AJ103:$AS103))))</f>
        <v>0</v>
      </c>
      <c r="P103" s="42" t="n">
        <f aca="false">ROUND(Z103-F103,2)</f>
        <v>0</v>
      </c>
      <c r="Q103" s="42" t="n">
        <f aca="false">ROUND(AA103-G103,2)</f>
        <v>0</v>
      </c>
      <c r="R103" s="42" t="n">
        <f aca="false">ROUND(AB103-H103,2)</f>
        <v>0</v>
      </c>
      <c r="S103" s="42" t="n">
        <f aca="false">ROUND(AC103-I103,2)</f>
        <v>0</v>
      </c>
      <c r="T103" s="42" t="n">
        <f aca="false">ROUND(AD103-J103,2)</f>
        <v>0</v>
      </c>
      <c r="U103" s="42" t="n">
        <f aca="false">ROUND(AE103-K103,2)</f>
        <v>0</v>
      </c>
      <c r="V103" s="42" t="n">
        <f aca="false">ROUND(AF103-L103,2)</f>
        <v>0</v>
      </c>
      <c r="W103" s="42" t="n">
        <f aca="false">ROUND(AG103-M103,2)</f>
        <v>0</v>
      </c>
      <c r="X103" s="42" t="n">
        <f aca="false">ROUND(AH103-N103,2)</f>
        <v>0</v>
      </c>
      <c r="Y103" s="42" t="n">
        <f aca="false">ROUND(AI103-O103,2)</f>
        <v>0</v>
      </c>
      <c r="Z103" s="56" t="n">
        <f aca="false">ROUND(P102*(1+N(Debts!$D$5)/12),2)</f>
        <v>0</v>
      </c>
      <c r="AA103" s="56" t="n">
        <f aca="false">ROUND(Q102*(1+N(Debts!$D$6)/12),2)</f>
        <v>0</v>
      </c>
      <c r="AB103" s="56" t="n">
        <f aca="false">ROUND(R102*(1+N(Debts!$D$7)/12),2)</f>
        <v>0</v>
      </c>
      <c r="AC103" s="56" t="n">
        <f aca="false">ROUND(S102*(1+N(Debts!$D$8)/12),2)</f>
        <v>0</v>
      </c>
      <c r="AD103" s="56" t="n">
        <f aca="false">ROUND(T102*(1+N(Debts!$D$9)/12),2)</f>
        <v>0</v>
      </c>
      <c r="AE103" s="56" t="n">
        <f aca="false">ROUND(U102*(1+N(Debts!$D$10)/12),2)</f>
        <v>0</v>
      </c>
      <c r="AF103" s="56" t="n">
        <f aca="false">ROUND(V102*(1+N(Debts!$D$11)/12),2)</f>
        <v>0</v>
      </c>
      <c r="AG103" s="56" t="n">
        <f aca="false">ROUND(W102*(1+N(Debts!$D$12)/12),2)</f>
        <v>0</v>
      </c>
      <c r="AH103" s="56" t="n">
        <f aca="false">ROUND(X102*(1+N(Debts!$D$13)/12),2)</f>
        <v>0</v>
      </c>
      <c r="AI103" s="56" t="n">
        <f aca="false">ROUND(Y102*(1+N(Debts!$D$14)/12),2)</f>
        <v>0</v>
      </c>
      <c r="AJ103" s="56" t="n">
        <f aca="false">MIN(Z103,MAX(0,N(Debts!$E$5)))</f>
        <v>0</v>
      </c>
      <c r="AK103" s="56" t="n">
        <f aca="false">MIN(AA103,MAX(0,N(Debts!$E$6)))</f>
        <v>0</v>
      </c>
      <c r="AL103" s="56" t="n">
        <f aca="false">MIN(AB103,MAX(0,N(Debts!$E$7)))</f>
        <v>0</v>
      </c>
      <c r="AM103" s="56" t="n">
        <f aca="false">MIN(AC103,MAX(0,N(Debts!$E$8)))</f>
        <v>0</v>
      </c>
      <c r="AN103" s="56" t="n">
        <f aca="false">MIN(AD103,MAX(0,N(Debts!$E$9)))</f>
        <v>0</v>
      </c>
      <c r="AO103" s="56" t="n">
        <f aca="false">MIN(AE103,MAX(0,N(Debts!$E$10)))</f>
        <v>0</v>
      </c>
      <c r="AP103" s="56" t="n">
        <f aca="false">MIN(AF103,MAX(0,N(Debts!$E$11)))</f>
        <v>0</v>
      </c>
      <c r="AQ103" s="56" t="n">
        <f aca="false">MIN(AG103,MAX(0,N(Debts!$E$12)))</f>
        <v>0</v>
      </c>
      <c r="AR103" s="56" t="n">
        <f aca="false">MIN(AH103,MAX(0,N(Debts!$E$13)))</f>
        <v>0</v>
      </c>
      <c r="AS103" s="56" t="n">
        <f aca="false">MIN(AI103,MAX(0,N(Debts!$E$14)))</f>
        <v>0</v>
      </c>
    </row>
    <row r="104" customFormat="false" ht="15" hidden="false" customHeight="false" outlineLevel="0" collapsed="false">
      <c r="A104" s="53" t="n">
        <v>100</v>
      </c>
      <c r="B104" s="54" t="n">
        <f aca="false">EDATE('Start Here'!$B$8,99)</f>
        <v>49341</v>
      </c>
      <c r="C104" s="42" t="n">
        <f aca="false">SUM(F104:O104)</f>
        <v>0</v>
      </c>
      <c r="D104" s="42" t="n">
        <f aca="false">ROUND(SUM($Z104:$AI104)-SUM(P103:Y103),2)</f>
        <v>0</v>
      </c>
      <c r="E104" s="55" t="n">
        <f aca="false">SUM(P104:Y104)</f>
        <v>0</v>
      </c>
      <c r="F104" s="42" t="n">
        <f aca="false">AJ104+MIN(Z104-AJ104,MAX(0,'Start Here'!$B$10-SUM($AJ104:$AS104)-SUMPRODUCT(($Z$3:$AI$3&lt;Z$3)*($Z104:$AI104-$AJ104:$AS104))))</f>
        <v>0</v>
      </c>
      <c r="G104" s="42" t="n">
        <f aca="false">AK104+MIN(AA104-AK104,MAX(0,'Start Here'!$B$10-SUM($AJ104:$AS104)-SUMPRODUCT(($Z$3:$AI$3&lt;AA$3)*($Z104:$AI104-$AJ104:$AS104))))</f>
        <v>0</v>
      </c>
      <c r="H104" s="42" t="n">
        <f aca="false">AL104+MIN(AB104-AL104,MAX(0,'Start Here'!$B$10-SUM($AJ104:$AS104)-SUMPRODUCT(($Z$3:$AI$3&lt;AB$3)*($Z104:$AI104-$AJ104:$AS104))))</f>
        <v>0</v>
      </c>
      <c r="I104" s="42" t="n">
        <f aca="false">AM104+MIN(AC104-AM104,MAX(0,'Start Here'!$B$10-SUM($AJ104:$AS104)-SUMPRODUCT(($Z$3:$AI$3&lt;AC$3)*($Z104:$AI104-$AJ104:$AS104))))</f>
        <v>0</v>
      </c>
      <c r="J104" s="42" t="n">
        <f aca="false">AN104+MIN(AD104-AN104,MAX(0,'Start Here'!$B$10-SUM($AJ104:$AS104)-SUMPRODUCT(($Z$3:$AI$3&lt;AD$3)*($Z104:$AI104-$AJ104:$AS104))))</f>
        <v>0</v>
      </c>
      <c r="K104" s="42" t="n">
        <f aca="false">AO104+MIN(AE104-AO104,MAX(0,'Start Here'!$B$10-SUM($AJ104:$AS104)-SUMPRODUCT(($Z$3:$AI$3&lt;AE$3)*($Z104:$AI104-$AJ104:$AS104))))</f>
        <v>0</v>
      </c>
      <c r="L104" s="42" t="n">
        <f aca="false">AP104+MIN(AF104-AP104,MAX(0,'Start Here'!$B$10-SUM($AJ104:$AS104)-SUMPRODUCT(($Z$3:$AI$3&lt;AF$3)*($Z104:$AI104-$AJ104:$AS104))))</f>
        <v>0</v>
      </c>
      <c r="M104" s="42" t="n">
        <f aca="false">AQ104+MIN(AG104-AQ104,MAX(0,'Start Here'!$B$10-SUM($AJ104:$AS104)-SUMPRODUCT(($Z$3:$AI$3&lt;AG$3)*($Z104:$AI104-$AJ104:$AS104))))</f>
        <v>0</v>
      </c>
      <c r="N104" s="42" t="n">
        <f aca="false">AR104+MIN(AH104-AR104,MAX(0,'Start Here'!$B$10-SUM($AJ104:$AS104)-SUMPRODUCT(($Z$3:$AI$3&lt;AH$3)*($Z104:$AI104-$AJ104:$AS104))))</f>
        <v>0</v>
      </c>
      <c r="O104" s="42" t="n">
        <f aca="false">AS104+MIN(AI104-AS104,MAX(0,'Start Here'!$B$10-SUM($AJ104:$AS104)-SUMPRODUCT(($Z$3:$AI$3&lt;AI$3)*($Z104:$AI104-$AJ104:$AS104))))</f>
        <v>0</v>
      </c>
      <c r="P104" s="42" t="n">
        <f aca="false">ROUND(Z104-F104,2)</f>
        <v>0</v>
      </c>
      <c r="Q104" s="42" t="n">
        <f aca="false">ROUND(AA104-G104,2)</f>
        <v>0</v>
      </c>
      <c r="R104" s="42" t="n">
        <f aca="false">ROUND(AB104-H104,2)</f>
        <v>0</v>
      </c>
      <c r="S104" s="42" t="n">
        <f aca="false">ROUND(AC104-I104,2)</f>
        <v>0</v>
      </c>
      <c r="T104" s="42" t="n">
        <f aca="false">ROUND(AD104-J104,2)</f>
        <v>0</v>
      </c>
      <c r="U104" s="42" t="n">
        <f aca="false">ROUND(AE104-K104,2)</f>
        <v>0</v>
      </c>
      <c r="V104" s="42" t="n">
        <f aca="false">ROUND(AF104-L104,2)</f>
        <v>0</v>
      </c>
      <c r="W104" s="42" t="n">
        <f aca="false">ROUND(AG104-M104,2)</f>
        <v>0</v>
      </c>
      <c r="X104" s="42" t="n">
        <f aca="false">ROUND(AH104-N104,2)</f>
        <v>0</v>
      </c>
      <c r="Y104" s="42" t="n">
        <f aca="false">ROUND(AI104-O104,2)</f>
        <v>0</v>
      </c>
      <c r="Z104" s="56" t="n">
        <f aca="false">ROUND(P103*(1+N(Debts!$D$5)/12),2)</f>
        <v>0</v>
      </c>
      <c r="AA104" s="56" t="n">
        <f aca="false">ROUND(Q103*(1+N(Debts!$D$6)/12),2)</f>
        <v>0</v>
      </c>
      <c r="AB104" s="56" t="n">
        <f aca="false">ROUND(R103*(1+N(Debts!$D$7)/12),2)</f>
        <v>0</v>
      </c>
      <c r="AC104" s="56" t="n">
        <f aca="false">ROUND(S103*(1+N(Debts!$D$8)/12),2)</f>
        <v>0</v>
      </c>
      <c r="AD104" s="56" t="n">
        <f aca="false">ROUND(T103*(1+N(Debts!$D$9)/12),2)</f>
        <v>0</v>
      </c>
      <c r="AE104" s="56" t="n">
        <f aca="false">ROUND(U103*(1+N(Debts!$D$10)/12),2)</f>
        <v>0</v>
      </c>
      <c r="AF104" s="56" t="n">
        <f aca="false">ROUND(V103*(1+N(Debts!$D$11)/12),2)</f>
        <v>0</v>
      </c>
      <c r="AG104" s="56" t="n">
        <f aca="false">ROUND(W103*(1+N(Debts!$D$12)/12),2)</f>
        <v>0</v>
      </c>
      <c r="AH104" s="56" t="n">
        <f aca="false">ROUND(X103*(1+N(Debts!$D$13)/12),2)</f>
        <v>0</v>
      </c>
      <c r="AI104" s="56" t="n">
        <f aca="false">ROUND(Y103*(1+N(Debts!$D$14)/12),2)</f>
        <v>0</v>
      </c>
      <c r="AJ104" s="56" t="n">
        <f aca="false">MIN(Z104,MAX(0,N(Debts!$E$5)))</f>
        <v>0</v>
      </c>
      <c r="AK104" s="56" t="n">
        <f aca="false">MIN(AA104,MAX(0,N(Debts!$E$6)))</f>
        <v>0</v>
      </c>
      <c r="AL104" s="56" t="n">
        <f aca="false">MIN(AB104,MAX(0,N(Debts!$E$7)))</f>
        <v>0</v>
      </c>
      <c r="AM104" s="56" t="n">
        <f aca="false">MIN(AC104,MAX(0,N(Debts!$E$8)))</f>
        <v>0</v>
      </c>
      <c r="AN104" s="56" t="n">
        <f aca="false">MIN(AD104,MAX(0,N(Debts!$E$9)))</f>
        <v>0</v>
      </c>
      <c r="AO104" s="56" t="n">
        <f aca="false">MIN(AE104,MAX(0,N(Debts!$E$10)))</f>
        <v>0</v>
      </c>
      <c r="AP104" s="56" t="n">
        <f aca="false">MIN(AF104,MAX(0,N(Debts!$E$11)))</f>
        <v>0</v>
      </c>
      <c r="AQ104" s="56" t="n">
        <f aca="false">MIN(AG104,MAX(0,N(Debts!$E$12)))</f>
        <v>0</v>
      </c>
      <c r="AR104" s="56" t="n">
        <f aca="false">MIN(AH104,MAX(0,N(Debts!$E$13)))</f>
        <v>0</v>
      </c>
      <c r="AS104" s="56" t="n">
        <f aca="false">MIN(AI104,MAX(0,N(Debts!$E$14)))</f>
        <v>0</v>
      </c>
    </row>
    <row r="105" customFormat="false" ht="15" hidden="false" customHeight="false" outlineLevel="0" collapsed="false">
      <c r="A105" s="53" t="n">
        <v>101</v>
      </c>
      <c r="B105" s="54" t="n">
        <f aca="false">EDATE('Start Here'!$B$8,100)</f>
        <v>49369</v>
      </c>
      <c r="C105" s="42" t="n">
        <f aca="false">SUM(F105:O105)</f>
        <v>0</v>
      </c>
      <c r="D105" s="42" t="n">
        <f aca="false">ROUND(SUM($Z105:$AI105)-SUM(P104:Y104),2)</f>
        <v>0</v>
      </c>
      <c r="E105" s="55" t="n">
        <f aca="false">SUM(P105:Y105)</f>
        <v>0</v>
      </c>
      <c r="F105" s="42" t="n">
        <f aca="false">AJ105+MIN(Z105-AJ105,MAX(0,'Start Here'!$B$10-SUM($AJ105:$AS105)-SUMPRODUCT(($Z$3:$AI$3&lt;Z$3)*($Z105:$AI105-$AJ105:$AS105))))</f>
        <v>0</v>
      </c>
      <c r="G105" s="42" t="n">
        <f aca="false">AK105+MIN(AA105-AK105,MAX(0,'Start Here'!$B$10-SUM($AJ105:$AS105)-SUMPRODUCT(($Z$3:$AI$3&lt;AA$3)*($Z105:$AI105-$AJ105:$AS105))))</f>
        <v>0</v>
      </c>
      <c r="H105" s="42" t="n">
        <f aca="false">AL105+MIN(AB105-AL105,MAX(0,'Start Here'!$B$10-SUM($AJ105:$AS105)-SUMPRODUCT(($Z$3:$AI$3&lt;AB$3)*($Z105:$AI105-$AJ105:$AS105))))</f>
        <v>0</v>
      </c>
      <c r="I105" s="42" t="n">
        <f aca="false">AM105+MIN(AC105-AM105,MAX(0,'Start Here'!$B$10-SUM($AJ105:$AS105)-SUMPRODUCT(($Z$3:$AI$3&lt;AC$3)*($Z105:$AI105-$AJ105:$AS105))))</f>
        <v>0</v>
      </c>
      <c r="J105" s="42" t="n">
        <f aca="false">AN105+MIN(AD105-AN105,MAX(0,'Start Here'!$B$10-SUM($AJ105:$AS105)-SUMPRODUCT(($Z$3:$AI$3&lt;AD$3)*($Z105:$AI105-$AJ105:$AS105))))</f>
        <v>0</v>
      </c>
      <c r="K105" s="42" t="n">
        <f aca="false">AO105+MIN(AE105-AO105,MAX(0,'Start Here'!$B$10-SUM($AJ105:$AS105)-SUMPRODUCT(($Z$3:$AI$3&lt;AE$3)*($Z105:$AI105-$AJ105:$AS105))))</f>
        <v>0</v>
      </c>
      <c r="L105" s="42" t="n">
        <f aca="false">AP105+MIN(AF105-AP105,MAX(0,'Start Here'!$B$10-SUM($AJ105:$AS105)-SUMPRODUCT(($Z$3:$AI$3&lt;AF$3)*($Z105:$AI105-$AJ105:$AS105))))</f>
        <v>0</v>
      </c>
      <c r="M105" s="42" t="n">
        <f aca="false">AQ105+MIN(AG105-AQ105,MAX(0,'Start Here'!$B$10-SUM($AJ105:$AS105)-SUMPRODUCT(($Z$3:$AI$3&lt;AG$3)*($Z105:$AI105-$AJ105:$AS105))))</f>
        <v>0</v>
      </c>
      <c r="N105" s="42" t="n">
        <f aca="false">AR105+MIN(AH105-AR105,MAX(0,'Start Here'!$B$10-SUM($AJ105:$AS105)-SUMPRODUCT(($Z$3:$AI$3&lt;AH$3)*($Z105:$AI105-$AJ105:$AS105))))</f>
        <v>0</v>
      </c>
      <c r="O105" s="42" t="n">
        <f aca="false">AS105+MIN(AI105-AS105,MAX(0,'Start Here'!$B$10-SUM($AJ105:$AS105)-SUMPRODUCT(($Z$3:$AI$3&lt;AI$3)*($Z105:$AI105-$AJ105:$AS105))))</f>
        <v>0</v>
      </c>
      <c r="P105" s="42" t="n">
        <f aca="false">ROUND(Z105-F105,2)</f>
        <v>0</v>
      </c>
      <c r="Q105" s="42" t="n">
        <f aca="false">ROUND(AA105-G105,2)</f>
        <v>0</v>
      </c>
      <c r="R105" s="42" t="n">
        <f aca="false">ROUND(AB105-H105,2)</f>
        <v>0</v>
      </c>
      <c r="S105" s="42" t="n">
        <f aca="false">ROUND(AC105-I105,2)</f>
        <v>0</v>
      </c>
      <c r="T105" s="42" t="n">
        <f aca="false">ROUND(AD105-J105,2)</f>
        <v>0</v>
      </c>
      <c r="U105" s="42" t="n">
        <f aca="false">ROUND(AE105-K105,2)</f>
        <v>0</v>
      </c>
      <c r="V105" s="42" t="n">
        <f aca="false">ROUND(AF105-L105,2)</f>
        <v>0</v>
      </c>
      <c r="W105" s="42" t="n">
        <f aca="false">ROUND(AG105-M105,2)</f>
        <v>0</v>
      </c>
      <c r="X105" s="42" t="n">
        <f aca="false">ROUND(AH105-N105,2)</f>
        <v>0</v>
      </c>
      <c r="Y105" s="42" t="n">
        <f aca="false">ROUND(AI105-O105,2)</f>
        <v>0</v>
      </c>
      <c r="Z105" s="56" t="n">
        <f aca="false">ROUND(P104*(1+N(Debts!$D$5)/12),2)</f>
        <v>0</v>
      </c>
      <c r="AA105" s="56" t="n">
        <f aca="false">ROUND(Q104*(1+N(Debts!$D$6)/12),2)</f>
        <v>0</v>
      </c>
      <c r="AB105" s="56" t="n">
        <f aca="false">ROUND(R104*(1+N(Debts!$D$7)/12),2)</f>
        <v>0</v>
      </c>
      <c r="AC105" s="56" t="n">
        <f aca="false">ROUND(S104*(1+N(Debts!$D$8)/12),2)</f>
        <v>0</v>
      </c>
      <c r="AD105" s="56" t="n">
        <f aca="false">ROUND(T104*(1+N(Debts!$D$9)/12),2)</f>
        <v>0</v>
      </c>
      <c r="AE105" s="56" t="n">
        <f aca="false">ROUND(U104*(1+N(Debts!$D$10)/12),2)</f>
        <v>0</v>
      </c>
      <c r="AF105" s="56" t="n">
        <f aca="false">ROUND(V104*(1+N(Debts!$D$11)/12),2)</f>
        <v>0</v>
      </c>
      <c r="AG105" s="56" t="n">
        <f aca="false">ROUND(W104*(1+N(Debts!$D$12)/12),2)</f>
        <v>0</v>
      </c>
      <c r="AH105" s="56" t="n">
        <f aca="false">ROUND(X104*(1+N(Debts!$D$13)/12),2)</f>
        <v>0</v>
      </c>
      <c r="AI105" s="56" t="n">
        <f aca="false">ROUND(Y104*(1+N(Debts!$D$14)/12),2)</f>
        <v>0</v>
      </c>
      <c r="AJ105" s="56" t="n">
        <f aca="false">MIN(Z105,MAX(0,N(Debts!$E$5)))</f>
        <v>0</v>
      </c>
      <c r="AK105" s="56" t="n">
        <f aca="false">MIN(AA105,MAX(0,N(Debts!$E$6)))</f>
        <v>0</v>
      </c>
      <c r="AL105" s="56" t="n">
        <f aca="false">MIN(AB105,MAX(0,N(Debts!$E$7)))</f>
        <v>0</v>
      </c>
      <c r="AM105" s="56" t="n">
        <f aca="false">MIN(AC105,MAX(0,N(Debts!$E$8)))</f>
        <v>0</v>
      </c>
      <c r="AN105" s="56" t="n">
        <f aca="false">MIN(AD105,MAX(0,N(Debts!$E$9)))</f>
        <v>0</v>
      </c>
      <c r="AO105" s="56" t="n">
        <f aca="false">MIN(AE105,MAX(0,N(Debts!$E$10)))</f>
        <v>0</v>
      </c>
      <c r="AP105" s="56" t="n">
        <f aca="false">MIN(AF105,MAX(0,N(Debts!$E$11)))</f>
        <v>0</v>
      </c>
      <c r="AQ105" s="56" t="n">
        <f aca="false">MIN(AG105,MAX(0,N(Debts!$E$12)))</f>
        <v>0</v>
      </c>
      <c r="AR105" s="56" t="n">
        <f aca="false">MIN(AH105,MAX(0,N(Debts!$E$13)))</f>
        <v>0</v>
      </c>
      <c r="AS105" s="56" t="n">
        <f aca="false">MIN(AI105,MAX(0,N(Debts!$E$14)))</f>
        <v>0</v>
      </c>
    </row>
    <row r="106" customFormat="false" ht="15" hidden="false" customHeight="false" outlineLevel="0" collapsed="false">
      <c r="A106" s="53" t="n">
        <v>102</v>
      </c>
      <c r="B106" s="54" t="n">
        <f aca="false">EDATE('Start Here'!$B$8,101)</f>
        <v>49400</v>
      </c>
      <c r="C106" s="42" t="n">
        <f aca="false">SUM(F106:O106)</f>
        <v>0</v>
      </c>
      <c r="D106" s="42" t="n">
        <f aca="false">ROUND(SUM($Z106:$AI106)-SUM(P105:Y105),2)</f>
        <v>0</v>
      </c>
      <c r="E106" s="55" t="n">
        <f aca="false">SUM(P106:Y106)</f>
        <v>0</v>
      </c>
      <c r="F106" s="42" t="n">
        <f aca="false">AJ106+MIN(Z106-AJ106,MAX(0,'Start Here'!$B$10-SUM($AJ106:$AS106)-SUMPRODUCT(($Z$3:$AI$3&lt;Z$3)*($Z106:$AI106-$AJ106:$AS106))))</f>
        <v>0</v>
      </c>
      <c r="G106" s="42" t="n">
        <f aca="false">AK106+MIN(AA106-AK106,MAX(0,'Start Here'!$B$10-SUM($AJ106:$AS106)-SUMPRODUCT(($Z$3:$AI$3&lt;AA$3)*($Z106:$AI106-$AJ106:$AS106))))</f>
        <v>0</v>
      </c>
      <c r="H106" s="42" t="n">
        <f aca="false">AL106+MIN(AB106-AL106,MAX(0,'Start Here'!$B$10-SUM($AJ106:$AS106)-SUMPRODUCT(($Z$3:$AI$3&lt;AB$3)*($Z106:$AI106-$AJ106:$AS106))))</f>
        <v>0</v>
      </c>
      <c r="I106" s="42" t="n">
        <f aca="false">AM106+MIN(AC106-AM106,MAX(0,'Start Here'!$B$10-SUM($AJ106:$AS106)-SUMPRODUCT(($Z$3:$AI$3&lt;AC$3)*($Z106:$AI106-$AJ106:$AS106))))</f>
        <v>0</v>
      </c>
      <c r="J106" s="42" t="n">
        <f aca="false">AN106+MIN(AD106-AN106,MAX(0,'Start Here'!$B$10-SUM($AJ106:$AS106)-SUMPRODUCT(($Z$3:$AI$3&lt;AD$3)*($Z106:$AI106-$AJ106:$AS106))))</f>
        <v>0</v>
      </c>
      <c r="K106" s="42" t="n">
        <f aca="false">AO106+MIN(AE106-AO106,MAX(0,'Start Here'!$B$10-SUM($AJ106:$AS106)-SUMPRODUCT(($Z$3:$AI$3&lt;AE$3)*($Z106:$AI106-$AJ106:$AS106))))</f>
        <v>0</v>
      </c>
      <c r="L106" s="42" t="n">
        <f aca="false">AP106+MIN(AF106-AP106,MAX(0,'Start Here'!$B$10-SUM($AJ106:$AS106)-SUMPRODUCT(($Z$3:$AI$3&lt;AF$3)*($Z106:$AI106-$AJ106:$AS106))))</f>
        <v>0</v>
      </c>
      <c r="M106" s="42" t="n">
        <f aca="false">AQ106+MIN(AG106-AQ106,MAX(0,'Start Here'!$B$10-SUM($AJ106:$AS106)-SUMPRODUCT(($Z$3:$AI$3&lt;AG$3)*($Z106:$AI106-$AJ106:$AS106))))</f>
        <v>0</v>
      </c>
      <c r="N106" s="42" t="n">
        <f aca="false">AR106+MIN(AH106-AR106,MAX(0,'Start Here'!$B$10-SUM($AJ106:$AS106)-SUMPRODUCT(($Z$3:$AI$3&lt;AH$3)*($Z106:$AI106-$AJ106:$AS106))))</f>
        <v>0</v>
      </c>
      <c r="O106" s="42" t="n">
        <f aca="false">AS106+MIN(AI106-AS106,MAX(0,'Start Here'!$B$10-SUM($AJ106:$AS106)-SUMPRODUCT(($Z$3:$AI$3&lt;AI$3)*($Z106:$AI106-$AJ106:$AS106))))</f>
        <v>0</v>
      </c>
      <c r="P106" s="42" t="n">
        <f aca="false">ROUND(Z106-F106,2)</f>
        <v>0</v>
      </c>
      <c r="Q106" s="42" t="n">
        <f aca="false">ROUND(AA106-G106,2)</f>
        <v>0</v>
      </c>
      <c r="R106" s="42" t="n">
        <f aca="false">ROUND(AB106-H106,2)</f>
        <v>0</v>
      </c>
      <c r="S106" s="42" t="n">
        <f aca="false">ROUND(AC106-I106,2)</f>
        <v>0</v>
      </c>
      <c r="T106" s="42" t="n">
        <f aca="false">ROUND(AD106-J106,2)</f>
        <v>0</v>
      </c>
      <c r="U106" s="42" t="n">
        <f aca="false">ROUND(AE106-K106,2)</f>
        <v>0</v>
      </c>
      <c r="V106" s="42" t="n">
        <f aca="false">ROUND(AF106-L106,2)</f>
        <v>0</v>
      </c>
      <c r="W106" s="42" t="n">
        <f aca="false">ROUND(AG106-M106,2)</f>
        <v>0</v>
      </c>
      <c r="X106" s="42" t="n">
        <f aca="false">ROUND(AH106-N106,2)</f>
        <v>0</v>
      </c>
      <c r="Y106" s="42" t="n">
        <f aca="false">ROUND(AI106-O106,2)</f>
        <v>0</v>
      </c>
      <c r="Z106" s="56" t="n">
        <f aca="false">ROUND(P105*(1+N(Debts!$D$5)/12),2)</f>
        <v>0</v>
      </c>
      <c r="AA106" s="56" t="n">
        <f aca="false">ROUND(Q105*(1+N(Debts!$D$6)/12),2)</f>
        <v>0</v>
      </c>
      <c r="AB106" s="56" t="n">
        <f aca="false">ROUND(R105*(1+N(Debts!$D$7)/12),2)</f>
        <v>0</v>
      </c>
      <c r="AC106" s="56" t="n">
        <f aca="false">ROUND(S105*(1+N(Debts!$D$8)/12),2)</f>
        <v>0</v>
      </c>
      <c r="AD106" s="56" t="n">
        <f aca="false">ROUND(T105*(1+N(Debts!$D$9)/12),2)</f>
        <v>0</v>
      </c>
      <c r="AE106" s="56" t="n">
        <f aca="false">ROUND(U105*(1+N(Debts!$D$10)/12),2)</f>
        <v>0</v>
      </c>
      <c r="AF106" s="56" t="n">
        <f aca="false">ROUND(V105*(1+N(Debts!$D$11)/12),2)</f>
        <v>0</v>
      </c>
      <c r="AG106" s="56" t="n">
        <f aca="false">ROUND(W105*(1+N(Debts!$D$12)/12),2)</f>
        <v>0</v>
      </c>
      <c r="AH106" s="56" t="n">
        <f aca="false">ROUND(X105*(1+N(Debts!$D$13)/12),2)</f>
        <v>0</v>
      </c>
      <c r="AI106" s="56" t="n">
        <f aca="false">ROUND(Y105*(1+N(Debts!$D$14)/12),2)</f>
        <v>0</v>
      </c>
      <c r="AJ106" s="56" t="n">
        <f aca="false">MIN(Z106,MAX(0,N(Debts!$E$5)))</f>
        <v>0</v>
      </c>
      <c r="AK106" s="56" t="n">
        <f aca="false">MIN(AA106,MAX(0,N(Debts!$E$6)))</f>
        <v>0</v>
      </c>
      <c r="AL106" s="56" t="n">
        <f aca="false">MIN(AB106,MAX(0,N(Debts!$E$7)))</f>
        <v>0</v>
      </c>
      <c r="AM106" s="56" t="n">
        <f aca="false">MIN(AC106,MAX(0,N(Debts!$E$8)))</f>
        <v>0</v>
      </c>
      <c r="AN106" s="56" t="n">
        <f aca="false">MIN(AD106,MAX(0,N(Debts!$E$9)))</f>
        <v>0</v>
      </c>
      <c r="AO106" s="56" t="n">
        <f aca="false">MIN(AE106,MAX(0,N(Debts!$E$10)))</f>
        <v>0</v>
      </c>
      <c r="AP106" s="56" t="n">
        <f aca="false">MIN(AF106,MAX(0,N(Debts!$E$11)))</f>
        <v>0</v>
      </c>
      <c r="AQ106" s="56" t="n">
        <f aca="false">MIN(AG106,MAX(0,N(Debts!$E$12)))</f>
        <v>0</v>
      </c>
      <c r="AR106" s="56" t="n">
        <f aca="false">MIN(AH106,MAX(0,N(Debts!$E$13)))</f>
        <v>0</v>
      </c>
      <c r="AS106" s="56" t="n">
        <f aca="false">MIN(AI106,MAX(0,N(Debts!$E$14)))</f>
        <v>0</v>
      </c>
    </row>
    <row r="107" customFormat="false" ht="15" hidden="false" customHeight="false" outlineLevel="0" collapsed="false">
      <c r="A107" s="53" t="n">
        <v>103</v>
      </c>
      <c r="B107" s="54" t="n">
        <f aca="false">EDATE('Start Here'!$B$8,102)</f>
        <v>49430</v>
      </c>
      <c r="C107" s="42" t="n">
        <f aca="false">SUM(F107:O107)</f>
        <v>0</v>
      </c>
      <c r="D107" s="42" t="n">
        <f aca="false">ROUND(SUM($Z107:$AI107)-SUM(P106:Y106),2)</f>
        <v>0</v>
      </c>
      <c r="E107" s="55" t="n">
        <f aca="false">SUM(P107:Y107)</f>
        <v>0</v>
      </c>
      <c r="F107" s="42" t="n">
        <f aca="false">AJ107+MIN(Z107-AJ107,MAX(0,'Start Here'!$B$10-SUM($AJ107:$AS107)-SUMPRODUCT(($Z$3:$AI$3&lt;Z$3)*($Z107:$AI107-$AJ107:$AS107))))</f>
        <v>0</v>
      </c>
      <c r="G107" s="42" t="n">
        <f aca="false">AK107+MIN(AA107-AK107,MAX(0,'Start Here'!$B$10-SUM($AJ107:$AS107)-SUMPRODUCT(($Z$3:$AI$3&lt;AA$3)*($Z107:$AI107-$AJ107:$AS107))))</f>
        <v>0</v>
      </c>
      <c r="H107" s="42" t="n">
        <f aca="false">AL107+MIN(AB107-AL107,MAX(0,'Start Here'!$B$10-SUM($AJ107:$AS107)-SUMPRODUCT(($Z$3:$AI$3&lt;AB$3)*($Z107:$AI107-$AJ107:$AS107))))</f>
        <v>0</v>
      </c>
      <c r="I107" s="42" t="n">
        <f aca="false">AM107+MIN(AC107-AM107,MAX(0,'Start Here'!$B$10-SUM($AJ107:$AS107)-SUMPRODUCT(($Z$3:$AI$3&lt;AC$3)*($Z107:$AI107-$AJ107:$AS107))))</f>
        <v>0</v>
      </c>
      <c r="J107" s="42" t="n">
        <f aca="false">AN107+MIN(AD107-AN107,MAX(0,'Start Here'!$B$10-SUM($AJ107:$AS107)-SUMPRODUCT(($Z$3:$AI$3&lt;AD$3)*($Z107:$AI107-$AJ107:$AS107))))</f>
        <v>0</v>
      </c>
      <c r="K107" s="42" t="n">
        <f aca="false">AO107+MIN(AE107-AO107,MAX(0,'Start Here'!$B$10-SUM($AJ107:$AS107)-SUMPRODUCT(($Z$3:$AI$3&lt;AE$3)*($Z107:$AI107-$AJ107:$AS107))))</f>
        <v>0</v>
      </c>
      <c r="L107" s="42" t="n">
        <f aca="false">AP107+MIN(AF107-AP107,MAX(0,'Start Here'!$B$10-SUM($AJ107:$AS107)-SUMPRODUCT(($Z$3:$AI$3&lt;AF$3)*($Z107:$AI107-$AJ107:$AS107))))</f>
        <v>0</v>
      </c>
      <c r="M107" s="42" t="n">
        <f aca="false">AQ107+MIN(AG107-AQ107,MAX(0,'Start Here'!$B$10-SUM($AJ107:$AS107)-SUMPRODUCT(($Z$3:$AI$3&lt;AG$3)*($Z107:$AI107-$AJ107:$AS107))))</f>
        <v>0</v>
      </c>
      <c r="N107" s="42" t="n">
        <f aca="false">AR107+MIN(AH107-AR107,MAX(0,'Start Here'!$B$10-SUM($AJ107:$AS107)-SUMPRODUCT(($Z$3:$AI$3&lt;AH$3)*($Z107:$AI107-$AJ107:$AS107))))</f>
        <v>0</v>
      </c>
      <c r="O107" s="42" t="n">
        <f aca="false">AS107+MIN(AI107-AS107,MAX(0,'Start Here'!$B$10-SUM($AJ107:$AS107)-SUMPRODUCT(($Z$3:$AI$3&lt;AI$3)*($Z107:$AI107-$AJ107:$AS107))))</f>
        <v>0</v>
      </c>
      <c r="P107" s="42" t="n">
        <f aca="false">ROUND(Z107-F107,2)</f>
        <v>0</v>
      </c>
      <c r="Q107" s="42" t="n">
        <f aca="false">ROUND(AA107-G107,2)</f>
        <v>0</v>
      </c>
      <c r="R107" s="42" t="n">
        <f aca="false">ROUND(AB107-H107,2)</f>
        <v>0</v>
      </c>
      <c r="S107" s="42" t="n">
        <f aca="false">ROUND(AC107-I107,2)</f>
        <v>0</v>
      </c>
      <c r="T107" s="42" t="n">
        <f aca="false">ROUND(AD107-J107,2)</f>
        <v>0</v>
      </c>
      <c r="U107" s="42" t="n">
        <f aca="false">ROUND(AE107-K107,2)</f>
        <v>0</v>
      </c>
      <c r="V107" s="42" t="n">
        <f aca="false">ROUND(AF107-L107,2)</f>
        <v>0</v>
      </c>
      <c r="W107" s="42" t="n">
        <f aca="false">ROUND(AG107-M107,2)</f>
        <v>0</v>
      </c>
      <c r="X107" s="42" t="n">
        <f aca="false">ROUND(AH107-N107,2)</f>
        <v>0</v>
      </c>
      <c r="Y107" s="42" t="n">
        <f aca="false">ROUND(AI107-O107,2)</f>
        <v>0</v>
      </c>
      <c r="Z107" s="56" t="n">
        <f aca="false">ROUND(P106*(1+N(Debts!$D$5)/12),2)</f>
        <v>0</v>
      </c>
      <c r="AA107" s="56" t="n">
        <f aca="false">ROUND(Q106*(1+N(Debts!$D$6)/12),2)</f>
        <v>0</v>
      </c>
      <c r="AB107" s="56" t="n">
        <f aca="false">ROUND(R106*(1+N(Debts!$D$7)/12),2)</f>
        <v>0</v>
      </c>
      <c r="AC107" s="56" t="n">
        <f aca="false">ROUND(S106*(1+N(Debts!$D$8)/12),2)</f>
        <v>0</v>
      </c>
      <c r="AD107" s="56" t="n">
        <f aca="false">ROUND(T106*(1+N(Debts!$D$9)/12),2)</f>
        <v>0</v>
      </c>
      <c r="AE107" s="56" t="n">
        <f aca="false">ROUND(U106*(1+N(Debts!$D$10)/12),2)</f>
        <v>0</v>
      </c>
      <c r="AF107" s="56" t="n">
        <f aca="false">ROUND(V106*(1+N(Debts!$D$11)/12),2)</f>
        <v>0</v>
      </c>
      <c r="AG107" s="56" t="n">
        <f aca="false">ROUND(W106*(1+N(Debts!$D$12)/12),2)</f>
        <v>0</v>
      </c>
      <c r="AH107" s="56" t="n">
        <f aca="false">ROUND(X106*(1+N(Debts!$D$13)/12),2)</f>
        <v>0</v>
      </c>
      <c r="AI107" s="56" t="n">
        <f aca="false">ROUND(Y106*(1+N(Debts!$D$14)/12),2)</f>
        <v>0</v>
      </c>
      <c r="AJ107" s="56" t="n">
        <f aca="false">MIN(Z107,MAX(0,N(Debts!$E$5)))</f>
        <v>0</v>
      </c>
      <c r="AK107" s="56" t="n">
        <f aca="false">MIN(AA107,MAX(0,N(Debts!$E$6)))</f>
        <v>0</v>
      </c>
      <c r="AL107" s="56" t="n">
        <f aca="false">MIN(AB107,MAX(0,N(Debts!$E$7)))</f>
        <v>0</v>
      </c>
      <c r="AM107" s="56" t="n">
        <f aca="false">MIN(AC107,MAX(0,N(Debts!$E$8)))</f>
        <v>0</v>
      </c>
      <c r="AN107" s="56" t="n">
        <f aca="false">MIN(AD107,MAX(0,N(Debts!$E$9)))</f>
        <v>0</v>
      </c>
      <c r="AO107" s="56" t="n">
        <f aca="false">MIN(AE107,MAX(0,N(Debts!$E$10)))</f>
        <v>0</v>
      </c>
      <c r="AP107" s="56" t="n">
        <f aca="false">MIN(AF107,MAX(0,N(Debts!$E$11)))</f>
        <v>0</v>
      </c>
      <c r="AQ107" s="56" t="n">
        <f aca="false">MIN(AG107,MAX(0,N(Debts!$E$12)))</f>
        <v>0</v>
      </c>
      <c r="AR107" s="56" t="n">
        <f aca="false">MIN(AH107,MAX(0,N(Debts!$E$13)))</f>
        <v>0</v>
      </c>
      <c r="AS107" s="56" t="n">
        <f aca="false">MIN(AI107,MAX(0,N(Debts!$E$14)))</f>
        <v>0</v>
      </c>
    </row>
    <row r="108" customFormat="false" ht="15" hidden="false" customHeight="false" outlineLevel="0" collapsed="false">
      <c r="A108" s="53" t="n">
        <v>104</v>
      </c>
      <c r="B108" s="54" t="n">
        <f aca="false">EDATE('Start Here'!$B$8,103)</f>
        <v>49461</v>
      </c>
      <c r="C108" s="42" t="n">
        <f aca="false">SUM(F108:O108)</f>
        <v>0</v>
      </c>
      <c r="D108" s="42" t="n">
        <f aca="false">ROUND(SUM($Z108:$AI108)-SUM(P107:Y107),2)</f>
        <v>0</v>
      </c>
      <c r="E108" s="55" t="n">
        <f aca="false">SUM(P108:Y108)</f>
        <v>0</v>
      </c>
      <c r="F108" s="42" t="n">
        <f aca="false">AJ108+MIN(Z108-AJ108,MAX(0,'Start Here'!$B$10-SUM($AJ108:$AS108)-SUMPRODUCT(($Z$3:$AI$3&lt;Z$3)*($Z108:$AI108-$AJ108:$AS108))))</f>
        <v>0</v>
      </c>
      <c r="G108" s="42" t="n">
        <f aca="false">AK108+MIN(AA108-AK108,MAX(0,'Start Here'!$B$10-SUM($AJ108:$AS108)-SUMPRODUCT(($Z$3:$AI$3&lt;AA$3)*($Z108:$AI108-$AJ108:$AS108))))</f>
        <v>0</v>
      </c>
      <c r="H108" s="42" t="n">
        <f aca="false">AL108+MIN(AB108-AL108,MAX(0,'Start Here'!$B$10-SUM($AJ108:$AS108)-SUMPRODUCT(($Z$3:$AI$3&lt;AB$3)*($Z108:$AI108-$AJ108:$AS108))))</f>
        <v>0</v>
      </c>
      <c r="I108" s="42" t="n">
        <f aca="false">AM108+MIN(AC108-AM108,MAX(0,'Start Here'!$B$10-SUM($AJ108:$AS108)-SUMPRODUCT(($Z$3:$AI$3&lt;AC$3)*($Z108:$AI108-$AJ108:$AS108))))</f>
        <v>0</v>
      </c>
      <c r="J108" s="42" t="n">
        <f aca="false">AN108+MIN(AD108-AN108,MAX(0,'Start Here'!$B$10-SUM($AJ108:$AS108)-SUMPRODUCT(($Z$3:$AI$3&lt;AD$3)*($Z108:$AI108-$AJ108:$AS108))))</f>
        <v>0</v>
      </c>
      <c r="K108" s="42" t="n">
        <f aca="false">AO108+MIN(AE108-AO108,MAX(0,'Start Here'!$B$10-SUM($AJ108:$AS108)-SUMPRODUCT(($Z$3:$AI$3&lt;AE$3)*($Z108:$AI108-$AJ108:$AS108))))</f>
        <v>0</v>
      </c>
      <c r="L108" s="42" t="n">
        <f aca="false">AP108+MIN(AF108-AP108,MAX(0,'Start Here'!$B$10-SUM($AJ108:$AS108)-SUMPRODUCT(($Z$3:$AI$3&lt;AF$3)*($Z108:$AI108-$AJ108:$AS108))))</f>
        <v>0</v>
      </c>
      <c r="M108" s="42" t="n">
        <f aca="false">AQ108+MIN(AG108-AQ108,MAX(0,'Start Here'!$B$10-SUM($AJ108:$AS108)-SUMPRODUCT(($Z$3:$AI$3&lt;AG$3)*($Z108:$AI108-$AJ108:$AS108))))</f>
        <v>0</v>
      </c>
      <c r="N108" s="42" t="n">
        <f aca="false">AR108+MIN(AH108-AR108,MAX(0,'Start Here'!$B$10-SUM($AJ108:$AS108)-SUMPRODUCT(($Z$3:$AI$3&lt;AH$3)*($Z108:$AI108-$AJ108:$AS108))))</f>
        <v>0</v>
      </c>
      <c r="O108" s="42" t="n">
        <f aca="false">AS108+MIN(AI108-AS108,MAX(0,'Start Here'!$B$10-SUM($AJ108:$AS108)-SUMPRODUCT(($Z$3:$AI$3&lt;AI$3)*($Z108:$AI108-$AJ108:$AS108))))</f>
        <v>0</v>
      </c>
      <c r="P108" s="42" t="n">
        <f aca="false">ROUND(Z108-F108,2)</f>
        <v>0</v>
      </c>
      <c r="Q108" s="42" t="n">
        <f aca="false">ROUND(AA108-G108,2)</f>
        <v>0</v>
      </c>
      <c r="R108" s="42" t="n">
        <f aca="false">ROUND(AB108-H108,2)</f>
        <v>0</v>
      </c>
      <c r="S108" s="42" t="n">
        <f aca="false">ROUND(AC108-I108,2)</f>
        <v>0</v>
      </c>
      <c r="T108" s="42" t="n">
        <f aca="false">ROUND(AD108-J108,2)</f>
        <v>0</v>
      </c>
      <c r="U108" s="42" t="n">
        <f aca="false">ROUND(AE108-K108,2)</f>
        <v>0</v>
      </c>
      <c r="V108" s="42" t="n">
        <f aca="false">ROUND(AF108-L108,2)</f>
        <v>0</v>
      </c>
      <c r="W108" s="42" t="n">
        <f aca="false">ROUND(AG108-M108,2)</f>
        <v>0</v>
      </c>
      <c r="X108" s="42" t="n">
        <f aca="false">ROUND(AH108-N108,2)</f>
        <v>0</v>
      </c>
      <c r="Y108" s="42" t="n">
        <f aca="false">ROUND(AI108-O108,2)</f>
        <v>0</v>
      </c>
      <c r="Z108" s="56" t="n">
        <f aca="false">ROUND(P107*(1+N(Debts!$D$5)/12),2)</f>
        <v>0</v>
      </c>
      <c r="AA108" s="56" t="n">
        <f aca="false">ROUND(Q107*(1+N(Debts!$D$6)/12),2)</f>
        <v>0</v>
      </c>
      <c r="AB108" s="56" t="n">
        <f aca="false">ROUND(R107*(1+N(Debts!$D$7)/12),2)</f>
        <v>0</v>
      </c>
      <c r="AC108" s="56" t="n">
        <f aca="false">ROUND(S107*(1+N(Debts!$D$8)/12),2)</f>
        <v>0</v>
      </c>
      <c r="AD108" s="56" t="n">
        <f aca="false">ROUND(T107*(1+N(Debts!$D$9)/12),2)</f>
        <v>0</v>
      </c>
      <c r="AE108" s="56" t="n">
        <f aca="false">ROUND(U107*(1+N(Debts!$D$10)/12),2)</f>
        <v>0</v>
      </c>
      <c r="AF108" s="56" t="n">
        <f aca="false">ROUND(V107*(1+N(Debts!$D$11)/12),2)</f>
        <v>0</v>
      </c>
      <c r="AG108" s="56" t="n">
        <f aca="false">ROUND(W107*(1+N(Debts!$D$12)/12),2)</f>
        <v>0</v>
      </c>
      <c r="AH108" s="56" t="n">
        <f aca="false">ROUND(X107*(1+N(Debts!$D$13)/12),2)</f>
        <v>0</v>
      </c>
      <c r="AI108" s="56" t="n">
        <f aca="false">ROUND(Y107*(1+N(Debts!$D$14)/12),2)</f>
        <v>0</v>
      </c>
      <c r="AJ108" s="56" t="n">
        <f aca="false">MIN(Z108,MAX(0,N(Debts!$E$5)))</f>
        <v>0</v>
      </c>
      <c r="AK108" s="56" t="n">
        <f aca="false">MIN(AA108,MAX(0,N(Debts!$E$6)))</f>
        <v>0</v>
      </c>
      <c r="AL108" s="56" t="n">
        <f aca="false">MIN(AB108,MAX(0,N(Debts!$E$7)))</f>
        <v>0</v>
      </c>
      <c r="AM108" s="56" t="n">
        <f aca="false">MIN(AC108,MAX(0,N(Debts!$E$8)))</f>
        <v>0</v>
      </c>
      <c r="AN108" s="56" t="n">
        <f aca="false">MIN(AD108,MAX(0,N(Debts!$E$9)))</f>
        <v>0</v>
      </c>
      <c r="AO108" s="56" t="n">
        <f aca="false">MIN(AE108,MAX(0,N(Debts!$E$10)))</f>
        <v>0</v>
      </c>
      <c r="AP108" s="56" t="n">
        <f aca="false">MIN(AF108,MAX(0,N(Debts!$E$11)))</f>
        <v>0</v>
      </c>
      <c r="AQ108" s="56" t="n">
        <f aca="false">MIN(AG108,MAX(0,N(Debts!$E$12)))</f>
        <v>0</v>
      </c>
      <c r="AR108" s="56" t="n">
        <f aca="false">MIN(AH108,MAX(0,N(Debts!$E$13)))</f>
        <v>0</v>
      </c>
      <c r="AS108" s="56" t="n">
        <f aca="false">MIN(AI108,MAX(0,N(Debts!$E$14)))</f>
        <v>0</v>
      </c>
    </row>
    <row r="109" customFormat="false" ht="15" hidden="false" customHeight="false" outlineLevel="0" collapsed="false">
      <c r="A109" s="53" t="n">
        <v>105</v>
      </c>
      <c r="B109" s="54" t="n">
        <f aca="false">EDATE('Start Here'!$B$8,104)</f>
        <v>49491</v>
      </c>
      <c r="C109" s="42" t="n">
        <f aca="false">SUM(F109:O109)</f>
        <v>0</v>
      </c>
      <c r="D109" s="42" t="n">
        <f aca="false">ROUND(SUM($Z109:$AI109)-SUM(P108:Y108),2)</f>
        <v>0</v>
      </c>
      <c r="E109" s="55" t="n">
        <f aca="false">SUM(P109:Y109)</f>
        <v>0</v>
      </c>
      <c r="F109" s="42" t="n">
        <f aca="false">AJ109+MIN(Z109-AJ109,MAX(0,'Start Here'!$B$10-SUM($AJ109:$AS109)-SUMPRODUCT(($Z$3:$AI$3&lt;Z$3)*($Z109:$AI109-$AJ109:$AS109))))</f>
        <v>0</v>
      </c>
      <c r="G109" s="42" t="n">
        <f aca="false">AK109+MIN(AA109-AK109,MAX(0,'Start Here'!$B$10-SUM($AJ109:$AS109)-SUMPRODUCT(($Z$3:$AI$3&lt;AA$3)*($Z109:$AI109-$AJ109:$AS109))))</f>
        <v>0</v>
      </c>
      <c r="H109" s="42" t="n">
        <f aca="false">AL109+MIN(AB109-AL109,MAX(0,'Start Here'!$B$10-SUM($AJ109:$AS109)-SUMPRODUCT(($Z$3:$AI$3&lt;AB$3)*($Z109:$AI109-$AJ109:$AS109))))</f>
        <v>0</v>
      </c>
      <c r="I109" s="42" t="n">
        <f aca="false">AM109+MIN(AC109-AM109,MAX(0,'Start Here'!$B$10-SUM($AJ109:$AS109)-SUMPRODUCT(($Z$3:$AI$3&lt;AC$3)*($Z109:$AI109-$AJ109:$AS109))))</f>
        <v>0</v>
      </c>
      <c r="J109" s="42" t="n">
        <f aca="false">AN109+MIN(AD109-AN109,MAX(0,'Start Here'!$B$10-SUM($AJ109:$AS109)-SUMPRODUCT(($Z$3:$AI$3&lt;AD$3)*($Z109:$AI109-$AJ109:$AS109))))</f>
        <v>0</v>
      </c>
      <c r="K109" s="42" t="n">
        <f aca="false">AO109+MIN(AE109-AO109,MAX(0,'Start Here'!$B$10-SUM($AJ109:$AS109)-SUMPRODUCT(($Z$3:$AI$3&lt;AE$3)*($Z109:$AI109-$AJ109:$AS109))))</f>
        <v>0</v>
      </c>
      <c r="L109" s="42" t="n">
        <f aca="false">AP109+MIN(AF109-AP109,MAX(0,'Start Here'!$B$10-SUM($AJ109:$AS109)-SUMPRODUCT(($Z$3:$AI$3&lt;AF$3)*($Z109:$AI109-$AJ109:$AS109))))</f>
        <v>0</v>
      </c>
      <c r="M109" s="42" t="n">
        <f aca="false">AQ109+MIN(AG109-AQ109,MAX(0,'Start Here'!$B$10-SUM($AJ109:$AS109)-SUMPRODUCT(($Z$3:$AI$3&lt;AG$3)*($Z109:$AI109-$AJ109:$AS109))))</f>
        <v>0</v>
      </c>
      <c r="N109" s="42" t="n">
        <f aca="false">AR109+MIN(AH109-AR109,MAX(0,'Start Here'!$B$10-SUM($AJ109:$AS109)-SUMPRODUCT(($Z$3:$AI$3&lt;AH$3)*($Z109:$AI109-$AJ109:$AS109))))</f>
        <v>0</v>
      </c>
      <c r="O109" s="42" t="n">
        <f aca="false">AS109+MIN(AI109-AS109,MAX(0,'Start Here'!$B$10-SUM($AJ109:$AS109)-SUMPRODUCT(($Z$3:$AI$3&lt;AI$3)*($Z109:$AI109-$AJ109:$AS109))))</f>
        <v>0</v>
      </c>
      <c r="P109" s="42" t="n">
        <f aca="false">ROUND(Z109-F109,2)</f>
        <v>0</v>
      </c>
      <c r="Q109" s="42" t="n">
        <f aca="false">ROUND(AA109-G109,2)</f>
        <v>0</v>
      </c>
      <c r="R109" s="42" t="n">
        <f aca="false">ROUND(AB109-H109,2)</f>
        <v>0</v>
      </c>
      <c r="S109" s="42" t="n">
        <f aca="false">ROUND(AC109-I109,2)</f>
        <v>0</v>
      </c>
      <c r="T109" s="42" t="n">
        <f aca="false">ROUND(AD109-J109,2)</f>
        <v>0</v>
      </c>
      <c r="U109" s="42" t="n">
        <f aca="false">ROUND(AE109-K109,2)</f>
        <v>0</v>
      </c>
      <c r="V109" s="42" t="n">
        <f aca="false">ROUND(AF109-L109,2)</f>
        <v>0</v>
      </c>
      <c r="W109" s="42" t="n">
        <f aca="false">ROUND(AG109-M109,2)</f>
        <v>0</v>
      </c>
      <c r="X109" s="42" t="n">
        <f aca="false">ROUND(AH109-N109,2)</f>
        <v>0</v>
      </c>
      <c r="Y109" s="42" t="n">
        <f aca="false">ROUND(AI109-O109,2)</f>
        <v>0</v>
      </c>
      <c r="Z109" s="56" t="n">
        <f aca="false">ROUND(P108*(1+N(Debts!$D$5)/12),2)</f>
        <v>0</v>
      </c>
      <c r="AA109" s="56" t="n">
        <f aca="false">ROUND(Q108*(1+N(Debts!$D$6)/12),2)</f>
        <v>0</v>
      </c>
      <c r="AB109" s="56" t="n">
        <f aca="false">ROUND(R108*(1+N(Debts!$D$7)/12),2)</f>
        <v>0</v>
      </c>
      <c r="AC109" s="56" t="n">
        <f aca="false">ROUND(S108*(1+N(Debts!$D$8)/12),2)</f>
        <v>0</v>
      </c>
      <c r="AD109" s="56" t="n">
        <f aca="false">ROUND(T108*(1+N(Debts!$D$9)/12),2)</f>
        <v>0</v>
      </c>
      <c r="AE109" s="56" t="n">
        <f aca="false">ROUND(U108*(1+N(Debts!$D$10)/12),2)</f>
        <v>0</v>
      </c>
      <c r="AF109" s="56" t="n">
        <f aca="false">ROUND(V108*(1+N(Debts!$D$11)/12),2)</f>
        <v>0</v>
      </c>
      <c r="AG109" s="56" t="n">
        <f aca="false">ROUND(W108*(1+N(Debts!$D$12)/12),2)</f>
        <v>0</v>
      </c>
      <c r="AH109" s="56" t="n">
        <f aca="false">ROUND(X108*(1+N(Debts!$D$13)/12),2)</f>
        <v>0</v>
      </c>
      <c r="AI109" s="56" t="n">
        <f aca="false">ROUND(Y108*(1+N(Debts!$D$14)/12),2)</f>
        <v>0</v>
      </c>
      <c r="AJ109" s="56" t="n">
        <f aca="false">MIN(Z109,MAX(0,N(Debts!$E$5)))</f>
        <v>0</v>
      </c>
      <c r="AK109" s="56" t="n">
        <f aca="false">MIN(AA109,MAX(0,N(Debts!$E$6)))</f>
        <v>0</v>
      </c>
      <c r="AL109" s="56" t="n">
        <f aca="false">MIN(AB109,MAX(0,N(Debts!$E$7)))</f>
        <v>0</v>
      </c>
      <c r="AM109" s="56" t="n">
        <f aca="false">MIN(AC109,MAX(0,N(Debts!$E$8)))</f>
        <v>0</v>
      </c>
      <c r="AN109" s="56" t="n">
        <f aca="false">MIN(AD109,MAX(0,N(Debts!$E$9)))</f>
        <v>0</v>
      </c>
      <c r="AO109" s="56" t="n">
        <f aca="false">MIN(AE109,MAX(0,N(Debts!$E$10)))</f>
        <v>0</v>
      </c>
      <c r="AP109" s="56" t="n">
        <f aca="false">MIN(AF109,MAX(0,N(Debts!$E$11)))</f>
        <v>0</v>
      </c>
      <c r="AQ109" s="56" t="n">
        <f aca="false">MIN(AG109,MAX(0,N(Debts!$E$12)))</f>
        <v>0</v>
      </c>
      <c r="AR109" s="56" t="n">
        <f aca="false">MIN(AH109,MAX(0,N(Debts!$E$13)))</f>
        <v>0</v>
      </c>
      <c r="AS109" s="56" t="n">
        <f aca="false">MIN(AI109,MAX(0,N(Debts!$E$14)))</f>
        <v>0</v>
      </c>
    </row>
    <row r="110" customFormat="false" ht="15" hidden="false" customHeight="false" outlineLevel="0" collapsed="false">
      <c r="A110" s="53" t="n">
        <v>106</v>
      </c>
      <c r="B110" s="54" t="n">
        <f aca="false">EDATE('Start Here'!$B$8,105)</f>
        <v>49522</v>
      </c>
      <c r="C110" s="42" t="n">
        <f aca="false">SUM(F110:O110)</f>
        <v>0</v>
      </c>
      <c r="D110" s="42" t="n">
        <f aca="false">ROUND(SUM($Z110:$AI110)-SUM(P109:Y109),2)</f>
        <v>0</v>
      </c>
      <c r="E110" s="55" t="n">
        <f aca="false">SUM(P110:Y110)</f>
        <v>0</v>
      </c>
      <c r="F110" s="42" t="n">
        <f aca="false">AJ110+MIN(Z110-AJ110,MAX(0,'Start Here'!$B$10-SUM($AJ110:$AS110)-SUMPRODUCT(($Z$3:$AI$3&lt;Z$3)*($Z110:$AI110-$AJ110:$AS110))))</f>
        <v>0</v>
      </c>
      <c r="G110" s="42" t="n">
        <f aca="false">AK110+MIN(AA110-AK110,MAX(0,'Start Here'!$B$10-SUM($AJ110:$AS110)-SUMPRODUCT(($Z$3:$AI$3&lt;AA$3)*($Z110:$AI110-$AJ110:$AS110))))</f>
        <v>0</v>
      </c>
      <c r="H110" s="42" t="n">
        <f aca="false">AL110+MIN(AB110-AL110,MAX(0,'Start Here'!$B$10-SUM($AJ110:$AS110)-SUMPRODUCT(($Z$3:$AI$3&lt;AB$3)*($Z110:$AI110-$AJ110:$AS110))))</f>
        <v>0</v>
      </c>
      <c r="I110" s="42" t="n">
        <f aca="false">AM110+MIN(AC110-AM110,MAX(0,'Start Here'!$B$10-SUM($AJ110:$AS110)-SUMPRODUCT(($Z$3:$AI$3&lt;AC$3)*($Z110:$AI110-$AJ110:$AS110))))</f>
        <v>0</v>
      </c>
      <c r="J110" s="42" t="n">
        <f aca="false">AN110+MIN(AD110-AN110,MAX(0,'Start Here'!$B$10-SUM($AJ110:$AS110)-SUMPRODUCT(($Z$3:$AI$3&lt;AD$3)*($Z110:$AI110-$AJ110:$AS110))))</f>
        <v>0</v>
      </c>
      <c r="K110" s="42" t="n">
        <f aca="false">AO110+MIN(AE110-AO110,MAX(0,'Start Here'!$B$10-SUM($AJ110:$AS110)-SUMPRODUCT(($Z$3:$AI$3&lt;AE$3)*($Z110:$AI110-$AJ110:$AS110))))</f>
        <v>0</v>
      </c>
      <c r="L110" s="42" t="n">
        <f aca="false">AP110+MIN(AF110-AP110,MAX(0,'Start Here'!$B$10-SUM($AJ110:$AS110)-SUMPRODUCT(($Z$3:$AI$3&lt;AF$3)*($Z110:$AI110-$AJ110:$AS110))))</f>
        <v>0</v>
      </c>
      <c r="M110" s="42" t="n">
        <f aca="false">AQ110+MIN(AG110-AQ110,MAX(0,'Start Here'!$B$10-SUM($AJ110:$AS110)-SUMPRODUCT(($Z$3:$AI$3&lt;AG$3)*($Z110:$AI110-$AJ110:$AS110))))</f>
        <v>0</v>
      </c>
      <c r="N110" s="42" t="n">
        <f aca="false">AR110+MIN(AH110-AR110,MAX(0,'Start Here'!$B$10-SUM($AJ110:$AS110)-SUMPRODUCT(($Z$3:$AI$3&lt;AH$3)*($Z110:$AI110-$AJ110:$AS110))))</f>
        <v>0</v>
      </c>
      <c r="O110" s="42" t="n">
        <f aca="false">AS110+MIN(AI110-AS110,MAX(0,'Start Here'!$B$10-SUM($AJ110:$AS110)-SUMPRODUCT(($Z$3:$AI$3&lt;AI$3)*($Z110:$AI110-$AJ110:$AS110))))</f>
        <v>0</v>
      </c>
      <c r="P110" s="42" t="n">
        <f aca="false">ROUND(Z110-F110,2)</f>
        <v>0</v>
      </c>
      <c r="Q110" s="42" t="n">
        <f aca="false">ROUND(AA110-G110,2)</f>
        <v>0</v>
      </c>
      <c r="R110" s="42" t="n">
        <f aca="false">ROUND(AB110-H110,2)</f>
        <v>0</v>
      </c>
      <c r="S110" s="42" t="n">
        <f aca="false">ROUND(AC110-I110,2)</f>
        <v>0</v>
      </c>
      <c r="T110" s="42" t="n">
        <f aca="false">ROUND(AD110-J110,2)</f>
        <v>0</v>
      </c>
      <c r="U110" s="42" t="n">
        <f aca="false">ROUND(AE110-K110,2)</f>
        <v>0</v>
      </c>
      <c r="V110" s="42" t="n">
        <f aca="false">ROUND(AF110-L110,2)</f>
        <v>0</v>
      </c>
      <c r="W110" s="42" t="n">
        <f aca="false">ROUND(AG110-M110,2)</f>
        <v>0</v>
      </c>
      <c r="X110" s="42" t="n">
        <f aca="false">ROUND(AH110-N110,2)</f>
        <v>0</v>
      </c>
      <c r="Y110" s="42" t="n">
        <f aca="false">ROUND(AI110-O110,2)</f>
        <v>0</v>
      </c>
      <c r="Z110" s="56" t="n">
        <f aca="false">ROUND(P109*(1+N(Debts!$D$5)/12),2)</f>
        <v>0</v>
      </c>
      <c r="AA110" s="56" t="n">
        <f aca="false">ROUND(Q109*(1+N(Debts!$D$6)/12),2)</f>
        <v>0</v>
      </c>
      <c r="AB110" s="56" t="n">
        <f aca="false">ROUND(R109*(1+N(Debts!$D$7)/12),2)</f>
        <v>0</v>
      </c>
      <c r="AC110" s="56" t="n">
        <f aca="false">ROUND(S109*(1+N(Debts!$D$8)/12),2)</f>
        <v>0</v>
      </c>
      <c r="AD110" s="56" t="n">
        <f aca="false">ROUND(T109*(1+N(Debts!$D$9)/12),2)</f>
        <v>0</v>
      </c>
      <c r="AE110" s="56" t="n">
        <f aca="false">ROUND(U109*(1+N(Debts!$D$10)/12),2)</f>
        <v>0</v>
      </c>
      <c r="AF110" s="56" t="n">
        <f aca="false">ROUND(V109*(1+N(Debts!$D$11)/12),2)</f>
        <v>0</v>
      </c>
      <c r="AG110" s="56" t="n">
        <f aca="false">ROUND(W109*(1+N(Debts!$D$12)/12),2)</f>
        <v>0</v>
      </c>
      <c r="AH110" s="56" t="n">
        <f aca="false">ROUND(X109*(1+N(Debts!$D$13)/12),2)</f>
        <v>0</v>
      </c>
      <c r="AI110" s="56" t="n">
        <f aca="false">ROUND(Y109*(1+N(Debts!$D$14)/12),2)</f>
        <v>0</v>
      </c>
      <c r="AJ110" s="56" t="n">
        <f aca="false">MIN(Z110,MAX(0,N(Debts!$E$5)))</f>
        <v>0</v>
      </c>
      <c r="AK110" s="56" t="n">
        <f aca="false">MIN(AA110,MAX(0,N(Debts!$E$6)))</f>
        <v>0</v>
      </c>
      <c r="AL110" s="56" t="n">
        <f aca="false">MIN(AB110,MAX(0,N(Debts!$E$7)))</f>
        <v>0</v>
      </c>
      <c r="AM110" s="56" t="n">
        <f aca="false">MIN(AC110,MAX(0,N(Debts!$E$8)))</f>
        <v>0</v>
      </c>
      <c r="AN110" s="56" t="n">
        <f aca="false">MIN(AD110,MAX(0,N(Debts!$E$9)))</f>
        <v>0</v>
      </c>
      <c r="AO110" s="56" t="n">
        <f aca="false">MIN(AE110,MAX(0,N(Debts!$E$10)))</f>
        <v>0</v>
      </c>
      <c r="AP110" s="56" t="n">
        <f aca="false">MIN(AF110,MAX(0,N(Debts!$E$11)))</f>
        <v>0</v>
      </c>
      <c r="AQ110" s="56" t="n">
        <f aca="false">MIN(AG110,MAX(0,N(Debts!$E$12)))</f>
        <v>0</v>
      </c>
      <c r="AR110" s="56" t="n">
        <f aca="false">MIN(AH110,MAX(0,N(Debts!$E$13)))</f>
        <v>0</v>
      </c>
      <c r="AS110" s="56" t="n">
        <f aca="false">MIN(AI110,MAX(0,N(Debts!$E$14)))</f>
        <v>0</v>
      </c>
    </row>
    <row r="111" customFormat="false" ht="15" hidden="false" customHeight="false" outlineLevel="0" collapsed="false">
      <c r="A111" s="53" t="n">
        <v>107</v>
      </c>
      <c r="B111" s="54" t="n">
        <f aca="false">EDATE('Start Here'!$B$8,106)</f>
        <v>49553</v>
      </c>
      <c r="C111" s="42" t="n">
        <f aca="false">SUM(F111:O111)</f>
        <v>0</v>
      </c>
      <c r="D111" s="42" t="n">
        <f aca="false">ROUND(SUM($Z111:$AI111)-SUM(P110:Y110),2)</f>
        <v>0</v>
      </c>
      <c r="E111" s="55" t="n">
        <f aca="false">SUM(P111:Y111)</f>
        <v>0</v>
      </c>
      <c r="F111" s="42" t="n">
        <f aca="false">AJ111+MIN(Z111-AJ111,MAX(0,'Start Here'!$B$10-SUM($AJ111:$AS111)-SUMPRODUCT(($Z$3:$AI$3&lt;Z$3)*($Z111:$AI111-$AJ111:$AS111))))</f>
        <v>0</v>
      </c>
      <c r="G111" s="42" t="n">
        <f aca="false">AK111+MIN(AA111-AK111,MAX(0,'Start Here'!$B$10-SUM($AJ111:$AS111)-SUMPRODUCT(($Z$3:$AI$3&lt;AA$3)*($Z111:$AI111-$AJ111:$AS111))))</f>
        <v>0</v>
      </c>
      <c r="H111" s="42" t="n">
        <f aca="false">AL111+MIN(AB111-AL111,MAX(0,'Start Here'!$B$10-SUM($AJ111:$AS111)-SUMPRODUCT(($Z$3:$AI$3&lt;AB$3)*($Z111:$AI111-$AJ111:$AS111))))</f>
        <v>0</v>
      </c>
      <c r="I111" s="42" t="n">
        <f aca="false">AM111+MIN(AC111-AM111,MAX(0,'Start Here'!$B$10-SUM($AJ111:$AS111)-SUMPRODUCT(($Z$3:$AI$3&lt;AC$3)*($Z111:$AI111-$AJ111:$AS111))))</f>
        <v>0</v>
      </c>
      <c r="J111" s="42" t="n">
        <f aca="false">AN111+MIN(AD111-AN111,MAX(0,'Start Here'!$B$10-SUM($AJ111:$AS111)-SUMPRODUCT(($Z$3:$AI$3&lt;AD$3)*($Z111:$AI111-$AJ111:$AS111))))</f>
        <v>0</v>
      </c>
      <c r="K111" s="42" t="n">
        <f aca="false">AO111+MIN(AE111-AO111,MAX(0,'Start Here'!$B$10-SUM($AJ111:$AS111)-SUMPRODUCT(($Z$3:$AI$3&lt;AE$3)*($Z111:$AI111-$AJ111:$AS111))))</f>
        <v>0</v>
      </c>
      <c r="L111" s="42" t="n">
        <f aca="false">AP111+MIN(AF111-AP111,MAX(0,'Start Here'!$B$10-SUM($AJ111:$AS111)-SUMPRODUCT(($Z$3:$AI$3&lt;AF$3)*($Z111:$AI111-$AJ111:$AS111))))</f>
        <v>0</v>
      </c>
      <c r="M111" s="42" t="n">
        <f aca="false">AQ111+MIN(AG111-AQ111,MAX(0,'Start Here'!$B$10-SUM($AJ111:$AS111)-SUMPRODUCT(($Z$3:$AI$3&lt;AG$3)*($Z111:$AI111-$AJ111:$AS111))))</f>
        <v>0</v>
      </c>
      <c r="N111" s="42" t="n">
        <f aca="false">AR111+MIN(AH111-AR111,MAX(0,'Start Here'!$B$10-SUM($AJ111:$AS111)-SUMPRODUCT(($Z$3:$AI$3&lt;AH$3)*($Z111:$AI111-$AJ111:$AS111))))</f>
        <v>0</v>
      </c>
      <c r="O111" s="42" t="n">
        <f aca="false">AS111+MIN(AI111-AS111,MAX(0,'Start Here'!$B$10-SUM($AJ111:$AS111)-SUMPRODUCT(($Z$3:$AI$3&lt;AI$3)*($Z111:$AI111-$AJ111:$AS111))))</f>
        <v>0</v>
      </c>
      <c r="P111" s="42" t="n">
        <f aca="false">ROUND(Z111-F111,2)</f>
        <v>0</v>
      </c>
      <c r="Q111" s="42" t="n">
        <f aca="false">ROUND(AA111-G111,2)</f>
        <v>0</v>
      </c>
      <c r="R111" s="42" t="n">
        <f aca="false">ROUND(AB111-H111,2)</f>
        <v>0</v>
      </c>
      <c r="S111" s="42" t="n">
        <f aca="false">ROUND(AC111-I111,2)</f>
        <v>0</v>
      </c>
      <c r="T111" s="42" t="n">
        <f aca="false">ROUND(AD111-J111,2)</f>
        <v>0</v>
      </c>
      <c r="U111" s="42" t="n">
        <f aca="false">ROUND(AE111-K111,2)</f>
        <v>0</v>
      </c>
      <c r="V111" s="42" t="n">
        <f aca="false">ROUND(AF111-L111,2)</f>
        <v>0</v>
      </c>
      <c r="W111" s="42" t="n">
        <f aca="false">ROUND(AG111-M111,2)</f>
        <v>0</v>
      </c>
      <c r="X111" s="42" t="n">
        <f aca="false">ROUND(AH111-N111,2)</f>
        <v>0</v>
      </c>
      <c r="Y111" s="42" t="n">
        <f aca="false">ROUND(AI111-O111,2)</f>
        <v>0</v>
      </c>
      <c r="Z111" s="56" t="n">
        <f aca="false">ROUND(P110*(1+N(Debts!$D$5)/12),2)</f>
        <v>0</v>
      </c>
      <c r="AA111" s="56" t="n">
        <f aca="false">ROUND(Q110*(1+N(Debts!$D$6)/12),2)</f>
        <v>0</v>
      </c>
      <c r="AB111" s="56" t="n">
        <f aca="false">ROUND(R110*(1+N(Debts!$D$7)/12),2)</f>
        <v>0</v>
      </c>
      <c r="AC111" s="56" t="n">
        <f aca="false">ROUND(S110*(1+N(Debts!$D$8)/12),2)</f>
        <v>0</v>
      </c>
      <c r="AD111" s="56" t="n">
        <f aca="false">ROUND(T110*(1+N(Debts!$D$9)/12),2)</f>
        <v>0</v>
      </c>
      <c r="AE111" s="56" t="n">
        <f aca="false">ROUND(U110*(1+N(Debts!$D$10)/12),2)</f>
        <v>0</v>
      </c>
      <c r="AF111" s="56" t="n">
        <f aca="false">ROUND(V110*(1+N(Debts!$D$11)/12),2)</f>
        <v>0</v>
      </c>
      <c r="AG111" s="56" t="n">
        <f aca="false">ROUND(W110*(1+N(Debts!$D$12)/12),2)</f>
        <v>0</v>
      </c>
      <c r="AH111" s="56" t="n">
        <f aca="false">ROUND(X110*(1+N(Debts!$D$13)/12),2)</f>
        <v>0</v>
      </c>
      <c r="AI111" s="56" t="n">
        <f aca="false">ROUND(Y110*(1+N(Debts!$D$14)/12),2)</f>
        <v>0</v>
      </c>
      <c r="AJ111" s="56" t="n">
        <f aca="false">MIN(Z111,MAX(0,N(Debts!$E$5)))</f>
        <v>0</v>
      </c>
      <c r="AK111" s="56" t="n">
        <f aca="false">MIN(AA111,MAX(0,N(Debts!$E$6)))</f>
        <v>0</v>
      </c>
      <c r="AL111" s="56" t="n">
        <f aca="false">MIN(AB111,MAX(0,N(Debts!$E$7)))</f>
        <v>0</v>
      </c>
      <c r="AM111" s="56" t="n">
        <f aca="false">MIN(AC111,MAX(0,N(Debts!$E$8)))</f>
        <v>0</v>
      </c>
      <c r="AN111" s="56" t="n">
        <f aca="false">MIN(AD111,MAX(0,N(Debts!$E$9)))</f>
        <v>0</v>
      </c>
      <c r="AO111" s="56" t="n">
        <f aca="false">MIN(AE111,MAX(0,N(Debts!$E$10)))</f>
        <v>0</v>
      </c>
      <c r="AP111" s="56" t="n">
        <f aca="false">MIN(AF111,MAX(0,N(Debts!$E$11)))</f>
        <v>0</v>
      </c>
      <c r="AQ111" s="56" t="n">
        <f aca="false">MIN(AG111,MAX(0,N(Debts!$E$12)))</f>
        <v>0</v>
      </c>
      <c r="AR111" s="56" t="n">
        <f aca="false">MIN(AH111,MAX(0,N(Debts!$E$13)))</f>
        <v>0</v>
      </c>
      <c r="AS111" s="56" t="n">
        <f aca="false">MIN(AI111,MAX(0,N(Debts!$E$14)))</f>
        <v>0</v>
      </c>
    </row>
    <row r="112" customFormat="false" ht="15" hidden="false" customHeight="false" outlineLevel="0" collapsed="false">
      <c r="A112" s="53" t="n">
        <v>108</v>
      </c>
      <c r="B112" s="54" t="n">
        <f aca="false">EDATE('Start Here'!$B$8,107)</f>
        <v>49583</v>
      </c>
      <c r="C112" s="42" t="n">
        <f aca="false">SUM(F112:O112)</f>
        <v>0</v>
      </c>
      <c r="D112" s="42" t="n">
        <f aca="false">ROUND(SUM($Z112:$AI112)-SUM(P111:Y111),2)</f>
        <v>0</v>
      </c>
      <c r="E112" s="55" t="n">
        <f aca="false">SUM(P112:Y112)</f>
        <v>0</v>
      </c>
      <c r="F112" s="42" t="n">
        <f aca="false">AJ112+MIN(Z112-AJ112,MAX(0,'Start Here'!$B$10-SUM($AJ112:$AS112)-SUMPRODUCT(($Z$3:$AI$3&lt;Z$3)*($Z112:$AI112-$AJ112:$AS112))))</f>
        <v>0</v>
      </c>
      <c r="G112" s="42" t="n">
        <f aca="false">AK112+MIN(AA112-AK112,MAX(0,'Start Here'!$B$10-SUM($AJ112:$AS112)-SUMPRODUCT(($Z$3:$AI$3&lt;AA$3)*($Z112:$AI112-$AJ112:$AS112))))</f>
        <v>0</v>
      </c>
      <c r="H112" s="42" t="n">
        <f aca="false">AL112+MIN(AB112-AL112,MAX(0,'Start Here'!$B$10-SUM($AJ112:$AS112)-SUMPRODUCT(($Z$3:$AI$3&lt;AB$3)*($Z112:$AI112-$AJ112:$AS112))))</f>
        <v>0</v>
      </c>
      <c r="I112" s="42" t="n">
        <f aca="false">AM112+MIN(AC112-AM112,MAX(0,'Start Here'!$B$10-SUM($AJ112:$AS112)-SUMPRODUCT(($Z$3:$AI$3&lt;AC$3)*($Z112:$AI112-$AJ112:$AS112))))</f>
        <v>0</v>
      </c>
      <c r="J112" s="42" t="n">
        <f aca="false">AN112+MIN(AD112-AN112,MAX(0,'Start Here'!$B$10-SUM($AJ112:$AS112)-SUMPRODUCT(($Z$3:$AI$3&lt;AD$3)*($Z112:$AI112-$AJ112:$AS112))))</f>
        <v>0</v>
      </c>
      <c r="K112" s="42" t="n">
        <f aca="false">AO112+MIN(AE112-AO112,MAX(0,'Start Here'!$B$10-SUM($AJ112:$AS112)-SUMPRODUCT(($Z$3:$AI$3&lt;AE$3)*($Z112:$AI112-$AJ112:$AS112))))</f>
        <v>0</v>
      </c>
      <c r="L112" s="42" t="n">
        <f aca="false">AP112+MIN(AF112-AP112,MAX(0,'Start Here'!$B$10-SUM($AJ112:$AS112)-SUMPRODUCT(($Z$3:$AI$3&lt;AF$3)*($Z112:$AI112-$AJ112:$AS112))))</f>
        <v>0</v>
      </c>
      <c r="M112" s="42" t="n">
        <f aca="false">AQ112+MIN(AG112-AQ112,MAX(0,'Start Here'!$B$10-SUM($AJ112:$AS112)-SUMPRODUCT(($Z$3:$AI$3&lt;AG$3)*($Z112:$AI112-$AJ112:$AS112))))</f>
        <v>0</v>
      </c>
      <c r="N112" s="42" t="n">
        <f aca="false">AR112+MIN(AH112-AR112,MAX(0,'Start Here'!$B$10-SUM($AJ112:$AS112)-SUMPRODUCT(($Z$3:$AI$3&lt;AH$3)*($Z112:$AI112-$AJ112:$AS112))))</f>
        <v>0</v>
      </c>
      <c r="O112" s="42" t="n">
        <f aca="false">AS112+MIN(AI112-AS112,MAX(0,'Start Here'!$B$10-SUM($AJ112:$AS112)-SUMPRODUCT(($Z$3:$AI$3&lt;AI$3)*($Z112:$AI112-$AJ112:$AS112))))</f>
        <v>0</v>
      </c>
      <c r="P112" s="42" t="n">
        <f aca="false">ROUND(Z112-F112,2)</f>
        <v>0</v>
      </c>
      <c r="Q112" s="42" t="n">
        <f aca="false">ROUND(AA112-G112,2)</f>
        <v>0</v>
      </c>
      <c r="R112" s="42" t="n">
        <f aca="false">ROUND(AB112-H112,2)</f>
        <v>0</v>
      </c>
      <c r="S112" s="42" t="n">
        <f aca="false">ROUND(AC112-I112,2)</f>
        <v>0</v>
      </c>
      <c r="T112" s="42" t="n">
        <f aca="false">ROUND(AD112-J112,2)</f>
        <v>0</v>
      </c>
      <c r="U112" s="42" t="n">
        <f aca="false">ROUND(AE112-K112,2)</f>
        <v>0</v>
      </c>
      <c r="V112" s="42" t="n">
        <f aca="false">ROUND(AF112-L112,2)</f>
        <v>0</v>
      </c>
      <c r="W112" s="42" t="n">
        <f aca="false">ROUND(AG112-M112,2)</f>
        <v>0</v>
      </c>
      <c r="X112" s="42" t="n">
        <f aca="false">ROUND(AH112-N112,2)</f>
        <v>0</v>
      </c>
      <c r="Y112" s="42" t="n">
        <f aca="false">ROUND(AI112-O112,2)</f>
        <v>0</v>
      </c>
      <c r="Z112" s="56" t="n">
        <f aca="false">ROUND(P111*(1+N(Debts!$D$5)/12),2)</f>
        <v>0</v>
      </c>
      <c r="AA112" s="56" t="n">
        <f aca="false">ROUND(Q111*(1+N(Debts!$D$6)/12),2)</f>
        <v>0</v>
      </c>
      <c r="AB112" s="56" t="n">
        <f aca="false">ROUND(R111*(1+N(Debts!$D$7)/12),2)</f>
        <v>0</v>
      </c>
      <c r="AC112" s="56" t="n">
        <f aca="false">ROUND(S111*(1+N(Debts!$D$8)/12),2)</f>
        <v>0</v>
      </c>
      <c r="AD112" s="56" t="n">
        <f aca="false">ROUND(T111*(1+N(Debts!$D$9)/12),2)</f>
        <v>0</v>
      </c>
      <c r="AE112" s="56" t="n">
        <f aca="false">ROUND(U111*(1+N(Debts!$D$10)/12),2)</f>
        <v>0</v>
      </c>
      <c r="AF112" s="56" t="n">
        <f aca="false">ROUND(V111*(1+N(Debts!$D$11)/12),2)</f>
        <v>0</v>
      </c>
      <c r="AG112" s="56" t="n">
        <f aca="false">ROUND(W111*(1+N(Debts!$D$12)/12),2)</f>
        <v>0</v>
      </c>
      <c r="AH112" s="56" t="n">
        <f aca="false">ROUND(X111*(1+N(Debts!$D$13)/12),2)</f>
        <v>0</v>
      </c>
      <c r="AI112" s="56" t="n">
        <f aca="false">ROUND(Y111*(1+N(Debts!$D$14)/12),2)</f>
        <v>0</v>
      </c>
      <c r="AJ112" s="56" t="n">
        <f aca="false">MIN(Z112,MAX(0,N(Debts!$E$5)))</f>
        <v>0</v>
      </c>
      <c r="AK112" s="56" t="n">
        <f aca="false">MIN(AA112,MAX(0,N(Debts!$E$6)))</f>
        <v>0</v>
      </c>
      <c r="AL112" s="56" t="n">
        <f aca="false">MIN(AB112,MAX(0,N(Debts!$E$7)))</f>
        <v>0</v>
      </c>
      <c r="AM112" s="56" t="n">
        <f aca="false">MIN(AC112,MAX(0,N(Debts!$E$8)))</f>
        <v>0</v>
      </c>
      <c r="AN112" s="56" t="n">
        <f aca="false">MIN(AD112,MAX(0,N(Debts!$E$9)))</f>
        <v>0</v>
      </c>
      <c r="AO112" s="56" t="n">
        <f aca="false">MIN(AE112,MAX(0,N(Debts!$E$10)))</f>
        <v>0</v>
      </c>
      <c r="AP112" s="56" t="n">
        <f aca="false">MIN(AF112,MAX(0,N(Debts!$E$11)))</f>
        <v>0</v>
      </c>
      <c r="AQ112" s="56" t="n">
        <f aca="false">MIN(AG112,MAX(0,N(Debts!$E$12)))</f>
        <v>0</v>
      </c>
      <c r="AR112" s="56" t="n">
        <f aca="false">MIN(AH112,MAX(0,N(Debts!$E$13)))</f>
        <v>0</v>
      </c>
      <c r="AS112" s="56" t="n">
        <f aca="false">MIN(AI112,MAX(0,N(Debts!$E$14)))</f>
        <v>0</v>
      </c>
    </row>
    <row r="113" customFormat="false" ht="15" hidden="false" customHeight="false" outlineLevel="0" collapsed="false">
      <c r="A113" s="53" t="n">
        <v>109</v>
      </c>
      <c r="B113" s="54" t="n">
        <f aca="false">EDATE('Start Here'!$B$8,108)</f>
        <v>49614</v>
      </c>
      <c r="C113" s="42" t="n">
        <f aca="false">SUM(F113:O113)</f>
        <v>0</v>
      </c>
      <c r="D113" s="42" t="n">
        <f aca="false">ROUND(SUM($Z113:$AI113)-SUM(P112:Y112),2)</f>
        <v>0</v>
      </c>
      <c r="E113" s="55" t="n">
        <f aca="false">SUM(P113:Y113)</f>
        <v>0</v>
      </c>
      <c r="F113" s="42" t="n">
        <f aca="false">AJ113+MIN(Z113-AJ113,MAX(0,'Start Here'!$B$10-SUM($AJ113:$AS113)-SUMPRODUCT(($Z$3:$AI$3&lt;Z$3)*($Z113:$AI113-$AJ113:$AS113))))</f>
        <v>0</v>
      </c>
      <c r="G113" s="42" t="n">
        <f aca="false">AK113+MIN(AA113-AK113,MAX(0,'Start Here'!$B$10-SUM($AJ113:$AS113)-SUMPRODUCT(($Z$3:$AI$3&lt;AA$3)*($Z113:$AI113-$AJ113:$AS113))))</f>
        <v>0</v>
      </c>
      <c r="H113" s="42" t="n">
        <f aca="false">AL113+MIN(AB113-AL113,MAX(0,'Start Here'!$B$10-SUM($AJ113:$AS113)-SUMPRODUCT(($Z$3:$AI$3&lt;AB$3)*($Z113:$AI113-$AJ113:$AS113))))</f>
        <v>0</v>
      </c>
      <c r="I113" s="42" t="n">
        <f aca="false">AM113+MIN(AC113-AM113,MAX(0,'Start Here'!$B$10-SUM($AJ113:$AS113)-SUMPRODUCT(($Z$3:$AI$3&lt;AC$3)*($Z113:$AI113-$AJ113:$AS113))))</f>
        <v>0</v>
      </c>
      <c r="J113" s="42" t="n">
        <f aca="false">AN113+MIN(AD113-AN113,MAX(0,'Start Here'!$B$10-SUM($AJ113:$AS113)-SUMPRODUCT(($Z$3:$AI$3&lt;AD$3)*($Z113:$AI113-$AJ113:$AS113))))</f>
        <v>0</v>
      </c>
      <c r="K113" s="42" t="n">
        <f aca="false">AO113+MIN(AE113-AO113,MAX(0,'Start Here'!$B$10-SUM($AJ113:$AS113)-SUMPRODUCT(($Z$3:$AI$3&lt;AE$3)*($Z113:$AI113-$AJ113:$AS113))))</f>
        <v>0</v>
      </c>
      <c r="L113" s="42" t="n">
        <f aca="false">AP113+MIN(AF113-AP113,MAX(0,'Start Here'!$B$10-SUM($AJ113:$AS113)-SUMPRODUCT(($Z$3:$AI$3&lt;AF$3)*($Z113:$AI113-$AJ113:$AS113))))</f>
        <v>0</v>
      </c>
      <c r="M113" s="42" t="n">
        <f aca="false">AQ113+MIN(AG113-AQ113,MAX(0,'Start Here'!$B$10-SUM($AJ113:$AS113)-SUMPRODUCT(($Z$3:$AI$3&lt;AG$3)*($Z113:$AI113-$AJ113:$AS113))))</f>
        <v>0</v>
      </c>
      <c r="N113" s="42" t="n">
        <f aca="false">AR113+MIN(AH113-AR113,MAX(0,'Start Here'!$B$10-SUM($AJ113:$AS113)-SUMPRODUCT(($Z$3:$AI$3&lt;AH$3)*($Z113:$AI113-$AJ113:$AS113))))</f>
        <v>0</v>
      </c>
      <c r="O113" s="42" t="n">
        <f aca="false">AS113+MIN(AI113-AS113,MAX(0,'Start Here'!$B$10-SUM($AJ113:$AS113)-SUMPRODUCT(($Z$3:$AI$3&lt;AI$3)*($Z113:$AI113-$AJ113:$AS113))))</f>
        <v>0</v>
      </c>
      <c r="P113" s="42" t="n">
        <f aca="false">ROUND(Z113-F113,2)</f>
        <v>0</v>
      </c>
      <c r="Q113" s="42" t="n">
        <f aca="false">ROUND(AA113-G113,2)</f>
        <v>0</v>
      </c>
      <c r="R113" s="42" t="n">
        <f aca="false">ROUND(AB113-H113,2)</f>
        <v>0</v>
      </c>
      <c r="S113" s="42" t="n">
        <f aca="false">ROUND(AC113-I113,2)</f>
        <v>0</v>
      </c>
      <c r="T113" s="42" t="n">
        <f aca="false">ROUND(AD113-J113,2)</f>
        <v>0</v>
      </c>
      <c r="U113" s="42" t="n">
        <f aca="false">ROUND(AE113-K113,2)</f>
        <v>0</v>
      </c>
      <c r="V113" s="42" t="n">
        <f aca="false">ROUND(AF113-L113,2)</f>
        <v>0</v>
      </c>
      <c r="W113" s="42" t="n">
        <f aca="false">ROUND(AG113-M113,2)</f>
        <v>0</v>
      </c>
      <c r="X113" s="42" t="n">
        <f aca="false">ROUND(AH113-N113,2)</f>
        <v>0</v>
      </c>
      <c r="Y113" s="42" t="n">
        <f aca="false">ROUND(AI113-O113,2)</f>
        <v>0</v>
      </c>
      <c r="Z113" s="56" t="n">
        <f aca="false">ROUND(P112*(1+N(Debts!$D$5)/12),2)</f>
        <v>0</v>
      </c>
      <c r="AA113" s="56" t="n">
        <f aca="false">ROUND(Q112*(1+N(Debts!$D$6)/12),2)</f>
        <v>0</v>
      </c>
      <c r="AB113" s="56" t="n">
        <f aca="false">ROUND(R112*(1+N(Debts!$D$7)/12),2)</f>
        <v>0</v>
      </c>
      <c r="AC113" s="56" t="n">
        <f aca="false">ROUND(S112*(1+N(Debts!$D$8)/12),2)</f>
        <v>0</v>
      </c>
      <c r="AD113" s="56" t="n">
        <f aca="false">ROUND(T112*(1+N(Debts!$D$9)/12),2)</f>
        <v>0</v>
      </c>
      <c r="AE113" s="56" t="n">
        <f aca="false">ROUND(U112*(1+N(Debts!$D$10)/12),2)</f>
        <v>0</v>
      </c>
      <c r="AF113" s="56" t="n">
        <f aca="false">ROUND(V112*(1+N(Debts!$D$11)/12),2)</f>
        <v>0</v>
      </c>
      <c r="AG113" s="56" t="n">
        <f aca="false">ROUND(W112*(1+N(Debts!$D$12)/12),2)</f>
        <v>0</v>
      </c>
      <c r="AH113" s="56" t="n">
        <f aca="false">ROUND(X112*(1+N(Debts!$D$13)/12),2)</f>
        <v>0</v>
      </c>
      <c r="AI113" s="56" t="n">
        <f aca="false">ROUND(Y112*(1+N(Debts!$D$14)/12),2)</f>
        <v>0</v>
      </c>
      <c r="AJ113" s="56" t="n">
        <f aca="false">MIN(Z113,MAX(0,N(Debts!$E$5)))</f>
        <v>0</v>
      </c>
      <c r="AK113" s="56" t="n">
        <f aca="false">MIN(AA113,MAX(0,N(Debts!$E$6)))</f>
        <v>0</v>
      </c>
      <c r="AL113" s="56" t="n">
        <f aca="false">MIN(AB113,MAX(0,N(Debts!$E$7)))</f>
        <v>0</v>
      </c>
      <c r="AM113" s="56" t="n">
        <f aca="false">MIN(AC113,MAX(0,N(Debts!$E$8)))</f>
        <v>0</v>
      </c>
      <c r="AN113" s="56" t="n">
        <f aca="false">MIN(AD113,MAX(0,N(Debts!$E$9)))</f>
        <v>0</v>
      </c>
      <c r="AO113" s="56" t="n">
        <f aca="false">MIN(AE113,MAX(0,N(Debts!$E$10)))</f>
        <v>0</v>
      </c>
      <c r="AP113" s="56" t="n">
        <f aca="false">MIN(AF113,MAX(0,N(Debts!$E$11)))</f>
        <v>0</v>
      </c>
      <c r="AQ113" s="56" t="n">
        <f aca="false">MIN(AG113,MAX(0,N(Debts!$E$12)))</f>
        <v>0</v>
      </c>
      <c r="AR113" s="56" t="n">
        <f aca="false">MIN(AH113,MAX(0,N(Debts!$E$13)))</f>
        <v>0</v>
      </c>
      <c r="AS113" s="56" t="n">
        <f aca="false">MIN(AI113,MAX(0,N(Debts!$E$14)))</f>
        <v>0</v>
      </c>
    </row>
    <row r="114" customFormat="false" ht="15" hidden="false" customHeight="false" outlineLevel="0" collapsed="false">
      <c r="A114" s="53" t="n">
        <v>110</v>
      </c>
      <c r="B114" s="54" t="n">
        <f aca="false">EDATE('Start Here'!$B$8,109)</f>
        <v>49644</v>
      </c>
      <c r="C114" s="42" t="n">
        <f aca="false">SUM(F114:O114)</f>
        <v>0</v>
      </c>
      <c r="D114" s="42" t="n">
        <f aca="false">ROUND(SUM($Z114:$AI114)-SUM(P113:Y113),2)</f>
        <v>0</v>
      </c>
      <c r="E114" s="55" t="n">
        <f aca="false">SUM(P114:Y114)</f>
        <v>0</v>
      </c>
      <c r="F114" s="42" t="n">
        <f aca="false">AJ114+MIN(Z114-AJ114,MAX(0,'Start Here'!$B$10-SUM($AJ114:$AS114)-SUMPRODUCT(($Z$3:$AI$3&lt;Z$3)*($Z114:$AI114-$AJ114:$AS114))))</f>
        <v>0</v>
      </c>
      <c r="G114" s="42" t="n">
        <f aca="false">AK114+MIN(AA114-AK114,MAX(0,'Start Here'!$B$10-SUM($AJ114:$AS114)-SUMPRODUCT(($Z$3:$AI$3&lt;AA$3)*($Z114:$AI114-$AJ114:$AS114))))</f>
        <v>0</v>
      </c>
      <c r="H114" s="42" t="n">
        <f aca="false">AL114+MIN(AB114-AL114,MAX(0,'Start Here'!$B$10-SUM($AJ114:$AS114)-SUMPRODUCT(($Z$3:$AI$3&lt;AB$3)*($Z114:$AI114-$AJ114:$AS114))))</f>
        <v>0</v>
      </c>
      <c r="I114" s="42" t="n">
        <f aca="false">AM114+MIN(AC114-AM114,MAX(0,'Start Here'!$B$10-SUM($AJ114:$AS114)-SUMPRODUCT(($Z$3:$AI$3&lt;AC$3)*($Z114:$AI114-$AJ114:$AS114))))</f>
        <v>0</v>
      </c>
      <c r="J114" s="42" t="n">
        <f aca="false">AN114+MIN(AD114-AN114,MAX(0,'Start Here'!$B$10-SUM($AJ114:$AS114)-SUMPRODUCT(($Z$3:$AI$3&lt;AD$3)*($Z114:$AI114-$AJ114:$AS114))))</f>
        <v>0</v>
      </c>
      <c r="K114" s="42" t="n">
        <f aca="false">AO114+MIN(AE114-AO114,MAX(0,'Start Here'!$B$10-SUM($AJ114:$AS114)-SUMPRODUCT(($Z$3:$AI$3&lt;AE$3)*($Z114:$AI114-$AJ114:$AS114))))</f>
        <v>0</v>
      </c>
      <c r="L114" s="42" t="n">
        <f aca="false">AP114+MIN(AF114-AP114,MAX(0,'Start Here'!$B$10-SUM($AJ114:$AS114)-SUMPRODUCT(($Z$3:$AI$3&lt;AF$3)*($Z114:$AI114-$AJ114:$AS114))))</f>
        <v>0</v>
      </c>
      <c r="M114" s="42" t="n">
        <f aca="false">AQ114+MIN(AG114-AQ114,MAX(0,'Start Here'!$B$10-SUM($AJ114:$AS114)-SUMPRODUCT(($Z$3:$AI$3&lt;AG$3)*($Z114:$AI114-$AJ114:$AS114))))</f>
        <v>0</v>
      </c>
      <c r="N114" s="42" t="n">
        <f aca="false">AR114+MIN(AH114-AR114,MAX(0,'Start Here'!$B$10-SUM($AJ114:$AS114)-SUMPRODUCT(($Z$3:$AI$3&lt;AH$3)*($Z114:$AI114-$AJ114:$AS114))))</f>
        <v>0</v>
      </c>
      <c r="O114" s="42" t="n">
        <f aca="false">AS114+MIN(AI114-AS114,MAX(0,'Start Here'!$B$10-SUM($AJ114:$AS114)-SUMPRODUCT(($Z$3:$AI$3&lt;AI$3)*($Z114:$AI114-$AJ114:$AS114))))</f>
        <v>0</v>
      </c>
      <c r="P114" s="42" t="n">
        <f aca="false">ROUND(Z114-F114,2)</f>
        <v>0</v>
      </c>
      <c r="Q114" s="42" t="n">
        <f aca="false">ROUND(AA114-G114,2)</f>
        <v>0</v>
      </c>
      <c r="R114" s="42" t="n">
        <f aca="false">ROUND(AB114-H114,2)</f>
        <v>0</v>
      </c>
      <c r="S114" s="42" t="n">
        <f aca="false">ROUND(AC114-I114,2)</f>
        <v>0</v>
      </c>
      <c r="T114" s="42" t="n">
        <f aca="false">ROUND(AD114-J114,2)</f>
        <v>0</v>
      </c>
      <c r="U114" s="42" t="n">
        <f aca="false">ROUND(AE114-K114,2)</f>
        <v>0</v>
      </c>
      <c r="V114" s="42" t="n">
        <f aca="false">ROUND(AF114-L114,2)</f>
        <v>0</v>
      </c>
      <c r="W114" s="42" t="n">
        <f aca="false">ROUND(AG114-M114,2)</f>
        <v>0</v>
      </c>
      <c r="X114" s="42" t="n">
        <f aca="false">ROUND(AH114-N114,2)</f>
        <v>0</v>
      </c>
      <c r="Y114" s="42" t="n">
        <f aca="false">ROUND(AI114-O114,2)</f>
        <v>0</v>
      </c>
      <c r="Z114" s="56" t="n">
        <f aca="false">ROUND(P113*(1+N(Debts!$D$5)/12),2)</f>
        <v>0</v>
      </c>
      <c r="AA114" s="56" t="n">
        <f aca="false">ROUND(Q113*(1+N(Debts!$D$6)/12),2)</f>
        <v>0</v>
      </c>
      <c r="AB114" s="56" t="n">
        <f aca="false">ROUND(R113*(1+N(Debts!$D$7)/12),2)</f>
        <v>0</v>
      </c>
      <c r="AC114" s="56" t="n">
        <f aca="false">ROUND(S113*(1+N(Debts!$D$8)/12),2)</f>
        <v>0</v>
      </c>
      <c r="AD114" s="56" t="n">
        <f aca="false">ROUND(T113*(1+N(Debts!$D$9)/12),2)</f>
        <v>0</v>
      </c>
      <c r="AE114" s="56" t="n">
        <f aca="false">ROUND(U113*(1+N(Debts!$D$10)/12),2)</f>
        <v>0</v>
      </c>
      <c r="AF114" s="56" t="n">
        <f aca="false">ROUND(V113*(1+N(Debts!$D$11)/12),2)</f>
        <v>0</v>
      </c>
      <c r="AG114" s="56" t="n">
        <f aca="false">ROUND(W113*(1+N(Debts!$D$12)/12),2)</f>
        <v>0</v>
      </c>
      <c r="AH114" s="56" t="n">
        <f aca="false">ROUND(X113*(1+N(Debts!$D$13)/12),2)</f>
        <v>0</v>
      </c>
      <c r="AI114" s="56" t="n">
        <f aca="false">ROUND(Y113*(1+N(Debts!$D$14)/12),2)</f>
        <v>0</v>
      </c>
      <c r="AJ114" s="56" t="n">
        <f aca="false">MIN(Z114,MAX(0,N(Debts!$E$5)))</f>
        <v>0</v>
      </c>
      <c r="AK114" s="56" t="n">
        <f aca="false">MIN(AA114,MAX(0,N(Debts!$E$6)))</f>
        <v>0</v>
      </c>
      <c r="AL114" s="56" t="n">
        <f aca="false">MIN(AB114,MAX(0,N(Debts!$E$7)))</f>
        <v>0</v>
      </c>
      <c r="AM114" s="56" t="n">
        <f aca="false">MIN(AC114,MAX(0,N(Debts!$E$8)))</f>
        <v>0</v>
      </c>
      <c r="AN114" s="56" t="n">
        <f aca="false">MIN(AD114,MAX(0,N(Debts!$E$9)))</f>
        <v>0</v>
      </c>
      <c r="AO114" s="56" t="n">
        <f aca="false">MIN(AE114,MAX(0,N(Debts!$E$10)))</f>
        <v>0</v>
      </c>
      <c r="AP114" s="56" t="n">
        <f aca="false">MIN(AF114,MAX(0,N(Debts!$E$11)))</f>
        <v>0</v>
      </c>
      <c r="AQ114" s="56" t="n">
        <f aca="false">MIN(AG114,MAX(0,N(Debts!$E$12)))</f>
        <v>0</v>
      </c>
      <c r="AR114" s="56" t="n">
        <f aca="false">MIN(AH114,MAX(0,N(Debts!$E$13)))</f>
        <v>0</v>
      </c>
      <c r="AS114" s="56" t="n">
        <f aca="false">MIN(AI114,MAX(0,N(Debts!$E$14)))</f>
        <v>0</v>
      </c>
    </row>
    <row r="115" customFormat="false" ht="15" hidden="false" customHeight="false" outlineLevel="0" collapsed="false">
      <c r="A115" s="53" t="n">
        <v>111</v>
      </c>
      <c r="B115" s="54" t="n">
        <f aca="false">EDATE('Start Here'!$B$8,110)</f>
        <v>49675</v>
      </c>
      <c r="C115" s="42" t="n">
        <f aca="false">SUM(F115:O115)</f>
        <v>0</v>
      </c>
      <c r="D115" s="42" t="n">
        <f aca="false">ROUND(SUM($Z115:$AI115)-SUM(P114:Y114),2)</f>
        <v>0</v>
      </c>
      <c r="E115" s="55" t="n">
        <f aca="false">SUM(P115:Y115)</f>
        <v>0</v>
      </c>
      <c r="F115" s="42" t="n">
        <f aca="false">AJ115+MIN(Z115-AJ115,MAX(0,'Start Here'!$B$10-SUM($AJ115:$AS115)-SUMPRODUCT(($Z$3:$AI$3&lt;Z$3)*($Z115:$AI115-$AJ115:$AS115))))</f>
        <v>0</v>
      </c>
      <c r="G115" s="42" t="n">
        <f aca="false">AK115+MIN(AA115-AK115,MAX(0,'Start Here'!$B$10-SUM($AJ115:$AS115)-SUMPRODUCT(($Z$3:$AI$3&lt;AA$3)*($Z115:$AI115-$AJ115:$AS115))))</f>
        <v>0</v>
      </c>
      <c r="H115" s="42" t="n">
        <f aca="false">AL115+MIN(AB115-AL115,MAX(0,'Start Here'!$B$10-SUM($AJ115:$AS115)-SUMPRODUCT(($Z$3:$AI$3&lt;AB$3)*($Z115:$AI115-$AJ115:$AS115))))</f>
        <v>0</v>
      </c>
      <c r="I115" s="42" t="n">
        <f aca="false">AM115+MIN(AC115-AM115,MAX(0,'Start Here'!$B$10-SUM($AJ115:$AS115)-SUMPRODUCT(($Z$3:$AI$3&lt;AC$3)*($Z115:$AI115-$AJ115:$AS115))))</f>
        <v>0</v>
      </c>
      <c r="J115" s="42" t="n">
        <f aca="false">AN115+MIN(AD115-AN115,MAX(0,'Start Here'!$B$10-SUM($AJ115:$AS115)-SUMPRODUCT(($Z$3:$AI$3&lt;AD$3)*($Z115:$AI115-$AJ115:$AS115))))</f>
        <v>0</v>
      </c>
      <c r="K115" s="42" t="n">
        <f aca="false">AO115+MIN(AE115-AO115,MAX(0,'Start Here'!$B$10-SUM($AJ115:$AS115)-SUMPRODUCT(($Z$3:$AI$3&lt;AE$3)*($Z115:$AI115-$AJ115:$AS115))))</f>
        <v>0</v>
      </c>
      <c r="L115" s="42" t="n">
        <f aca="false">AP115+MIN(AF115-AP115,MAX(0,'Start Here'!$B$10-SUM($AJ115:$AS115)-SUMPRODUCT(($Z$3:$AI$3&lt;AF$3)*($Z115:$AI115-$AJ115:$AS115))))</f>
        <v>0</v>
      </c>
      <c r="M115" s="42" t="n">
        <f aca="false">AQ115+MIN(AG115-AQ115,MAX(0,'Start Here'!$B$10-SUM($AJ115:$AS115)-SUMPRODUCT(($Z$3:$AI$3&lt;AG$3)*($Z115:$AI115-$AJ115:$AS115))))</f>
        <v>0</v>
      </c>
      <c r="N115" s="42" t="n">
        <f aca="false">AR115+MIN(AH115-AR115,MAX(0,'Start Here'!$B$10-SUM($AJ115:$AS115)-SUMPRODUCT(($Z$3:$AI$3&lt;AH$3)*($Z115:$AI115-$AJ115:$AS115))))</f>
        <v>0</v>
      </c>
      <c r="O115" s="42" t="n">
        <f aca="false">AS115+MIN(AI115-AS115,MAX(0,'Start Here'!$B$10-SUM($AJ115:$AS115)-SUMPRODUCT(($Z$3:$AI$3&lt;AI$3)*($Z115:$AI115-$AJ115:$AS115))))</f>
        <v>0</v>
      </c>
      <c r="P115" s="42" t="n">
        <f aca="false">ROUND(Z115-F115,2)</f>
        <v>0</v>
      </c>
      <c r="Q115" s="42" t="n">
        <f aca="false">ROUND(AA115-G115,2)</f>
        <v>0</v>
      </c>
      <c r="R115" s="42" t="n">
        <f aca="false">ROUND(AB115-H115,2)</f>
        <v>0</v>
      </c>
      <c r="S115" s="42" t="n">
        <f aca="false">ROUND(AC115-I115,2)</f>
        <v>0</v>
      </c>
      <c r="T115" s="42" t="n">
        <f aca="false">ROUND(AD115-J115,2)</f>
        <v>0</v>
      </c>
      <c r="U115" s="42" t="n">
        <f aca="false">ROUND(AE115-K115,2)</f>
        <v>0</v>
      </c>
      <c r="V115" s="42" t="n">
        <f aca="false">ROUND(AF115-L115,2)</f>
        <v>0</v>
      </c>
      <c r="W115" s="42" t="n">
        <f aca="false">ROUND(AG115-M115,2)</f>
        <v>0</v>
      </c>
      <c r="X115" s="42" t="n">
        <f aca="false">ROUND(AH115-N115,2)</f>
        <v>0</v>
      </c>
      <c r="Y115" s="42" t="n">
        <f aca="false">ROUND(AI115-O115,2)</f>
        <v>0</v>
      </c>
      <c r="Z115" s="56" t="n">
        <f aca="false">ROUND(P114*(1+N(Debts!$D$5)/12),2)</f>
        <v>0</v>
      </c>
      <c r="AA115" s="56" t="n">
        <f aca="false">ROUND(Q114*(1+N(Debts!$D$6)/12),2)</f>
        <v>0</v>
      </c>
      <c r="AB115" s="56" t="n">
        <f aca="false">ROUND(R114*(1+N(Debts!$D$7)/12),2)</f>
        <v>0</v>
      </c>
      <c r="AC115" s="56" t="n">
        <f aca="false">ROUND(S114*(1+N(Debts!$D$8)/12),2)</f>
        <v>0</v>
      </c>
      <c r="AD115" s="56" t="n">
        <f aca="false">ROUND(T114*(1+N(Debts!$D$9)/12),2)</f>
        <v>0</v>
      </c>
      <c r="AE115" s="56" t="n">
        <f aca="false">ROUND(U114*(1+N(Debts!$D$10)/12),2)</f>
        <v>0</v>
      </c>
      <c r="AF115" s="56" t="n">
        <f aca="false">ROUND(V114*(1+N(Debts!$D$11)/12),2)</f>
        <v>0</v>
      </c>
      <c r="AG115" s="56" t="n">
        <f aca="false">ROUND(W114*(1+N(Debts!$D$12)/12),2)</f>
        <v>0</v>
      </c>
      <c r="AH115" s="56" t="n">
        <f aca="false">ROUND(X114*(1+N(Debts!$D$13)/12),2)</f>
        <v>0</v>
      </c>
      <c r="AI115" s="56" t="n">
        <f aca="false">ROUND(Y114*(1+N(Debts!$D$14)/12),2)</f>
        <v>0</v>
      </c>
      <c r="AJ115" s="56" t="n">
        <f aca="false">MIN(Z115,MAX(0,N(Debts!$E$5)))</f>
        <v>0</v>
      </c>
      <c r="AK115" s="56" t="n">
        <f aca="false">MIN(AA115,MAX(0,N(Debts!$E$6)))</f>
        <v>0</v>
      </c>
      <c r="AL115" s="56" t="n">
        <f aca="false">MIN(AB115,MAX(0,N(Debts!$E$7)))</f>
        <v>0</v>
      </c>
      <c r="AM115" s="56" t="n">
        <f aca="false">MIN(AC115,MAX(0,N(Debts!$E$8)))</f>
        <v>0</v>
      </c>
      <c r="AN115" s="56" t="n">
        <f aca="false">MIN(AD115,MAX(0,N(Debts!$E$9)))</f>
        <v>0</v>
      </c>
      <c r="AO115" s="56" t="n">
        <f aca="false">MIN(AE115,MAX(0,N(Debts!$E$10)))</f>
        <v>0</v>
      </c>
      <c r="AP115" s="56" t="n">
        <f aca="false">MIN(AF115,MAX(0,N(Debts!$E$11)))</f>
        <v>0</v>
      </c>
      <c r="AQ115" s="56" t="n">
        <f aca="false">MIN(AG115,MAX(0,N(Debts!$E$12)))</f>
        <v>0</v>
      </c>
      <c r="AR115" s="56" t="n">
        <f aca="false">MIN(AH115,MAX(0,N(Debts!$E$13)))</f>
        <v>0</v>
      </c>
      <c r="AS115" s="56" t="n">
        <f aca="false">MIN(AI115,MAX(0,N(Debts!$E$14)))</f>
        <v>0</v>
      </c>
    </row>
    <row r="116" customFormat="false" ht="15" hidden="false" customHeight="false" outlineLevel="0" collapsed="false">
      <c r="A116" s="53" t="n">
        <v>112</v>
      </c>
      <c r="B116" s="54" t="n">
        <f aca="false">EDATE('Start Here'!$B$8,111)</f>
        <v>49706</v>
      </c>
      <c r="C116" s="42" t="n">
        <f aca="false">SUM(F116:O116)</f>
        <v>0</v>
      </c>
      <c r="D116" s="42" t="n">
        <f aca="false">ROUND(SUM($Z116:$AI116)-SUM(P115:Y115),2)</f>
        <v>0</v>
      </c>
      <c r="E116" s="55" t="n">
        <f aca="false">SUM(P116:Y116)</f>
        <v>0</v>
      </c>
      <c r="F116" s="42" t="n">
        <f aca="false">AJ116+MIN(Z116-AJ116,MAX(0,'Start Here'!$B$10-SUM($AJ116:$AS116)-SUMPRODUCT(($Z$3:$AI$3&lt;Z$3)*($Z116:$AI116-$AJ116:$AS116))))</f>
        <v>0</v>
      </c>
      <c r="G116" s="42" t="n">
        <f aca="false">AK116+MIN(AA116-AK116,MAX(0,'Start Here'!$B$10-SUM($AJ116:$AS116)-SUMPRODUCT(($Z$3:$AI$3&lt;AA$3)*($Z116:$AI116-$AJ116:$AS116))))</f>
        <v>0</v>
      </c>
      <c r="H116" s="42" t="n">
        <f aca="false">AL116+MIN(AB116-AL116,MAX(0,'Start Here'!$B$10-SUM($AJ116:$AS116)-SUMPRODUCT(($Z$3:$AI$3&lt;AB$3)*($Z116:$AI116-$AJ116:$AS116))))</f>
        <v>0</v>
      </c>
      <c r="I116" s="42" t="n">
        <f aca="false">AM116+MIN(AC116-AM116,MAX(0,'Start Here'!$B$10-SUM($AJ116:$AS116)-SUMPRODUCT(($Z$3:$AI$3&lt;AC$3)*($Z116:$AI116-$AJ116:$AS116))))</f>
        <v>0</v>
      </c>
      <c r="J116" s="42" t="n">
        <f aca="false">AN116+MIN(AD116-AN116,MAX(0,'Start Here'!$B$10-SUM($AJ116:$AS116)-SUMPRODUCT(($Z$3:$AI$3&lt;AD$3)*($Z116:$AI116-$AJ116:$AS116))))</f>
        <v>0</v>
      </c>
      <c r="K116" s="42" t="n">
        <f aca="false">AO116+MIN(AE116-AO116,MAX(0,'Start Here'!$B$10-SUM($AJ116:$AS116)-SUMPRODUCT(($Z$3:$AI$3&lt;AE$3)*($Z116:$AI116-$AJ116:$AS116))))</f>
        <v>0</v>
      </c>
      <c r="L116" s="42" t="n">
        <f aca="false">AP116+MIN(AF116-AP116,MAX(0,'Start Here'!$B$10-SUM($AJ116:$AS116)-SUMPRODUCT(($Z$3:$AI$3&lt;AF$3)*($Z116:$AI116-$AJ116:$AS116))))</f>
        <v>0</v>
      </c>
      <c r="M116" s="42" t="n">
        <f aca="false">AQ116+MIN(AG116-AQ116,MAX(0,'Start Here'!$B$10-SUM($AJ116:$AS116)-SUMPRODUCT(($Z$3:$AI$3&lt;AG$3)*($Z116:$AI116-$AJ116:$AS116))))</f>
        <v>0</v>
      </c>
      <c r="N116" s="42" t="n">
        <f aca="false">AR116+MIN(AH116-AR116,MAX(0,'Start Here'!$B$10-SUM($AJ116:$AS116)-SUMPRODUCT(($Z$3:$AI$3&lt;AH$3)*($Z116:$AI116-$AJ116:$AS116))))</f>
        <v>0</v>
      </c>
      <c r="O116" s="42" t="n">
        <f aca="false">AS116+MIN(AI116-AS116,MAX(0,'Start Here'!$B$10-SUM($AJ116:$AS116)-SUMPRODUCT(($Z$3:$AI$3&lt;AI$3)*($Z116:$AI116-$AJ116:$AS116))))</f>
        <v>0</v>
      </c>
      <c r="P116" s="42" t="n">
        <f aca="false">ROUND(Z116-F116,2)</f>
        <v>0</v>
      </c>
      <c r="Q116" s="42" t="n">
        <f aca="false">ROUND(AA116-G116,2)</f>
        <v>0</v>
      </c>
      <c r="R116" s="42" t="n">
        <f aca="false">ROUND(AB116-H116,2)</f>
        <v>0</v>
      </c>
      <c r="S116" s="42" t="n">
        <f aca="false">ROUND(AC116-I116,2)</f>
        <v>0</v>
      </c>
      <c r="T116" s="42" t="n">
        <f aca="false">ROUND(AD116-J116,2)</f>
        <v>0</v>
      </c>
      <c r="U116" s="42" t="n">
        <f aca="false">ROUND(AE116-K116,2)</f>
        <v>0</v>
      </c>
      <c r="V116" s="42" t="n">
        <f aca="false">ROUND(AF116-L116,2)</f>
        <v>0</v>
      </c>
      <c r="W116" s="42" t="n">
        <f aca="false">ROUND(AG116-M116,2)</f>
        <v>0</v>
      </c>
      <c r="X116" s="42" t="n">
        <f aca="false">ROUND(AH116-N116,2)</f>
        <v>0</v>
      </c>
      <c r="Y116" s="42" t="n">
        <f aca="false">ROUND(AI116-O116,2)</f>
        <v>0</v>
      </c>
      <c r="Z116" s="56" t="n">
        <f aca="false">ROUND(P115*(1+N(Debts!$D$5)/12),2)</f>
        <v>0</v>
      </c>
      <c r="AA116" s="56" t="n">
        <f aca="false">ROUND(Q115*(1+N(Debts!$D$6)/12),2)</f>
        <v>0</v>
      </c>
      <c r="AB116" s="56" t="n">
        <f aca="false">ROUND(R115*(1+N(Debts!$D$7)/12),2)</f>
        <v>0</v>
      </c>
      <c r="AC116" s="56" t="n">
        <f aca="false">ROUND(S115*(1+N(Debts!$D$8)/12),2)</f>
        <v>0</v>
      </c>
      <c r="AD116" s="56" t="n">
        <f aca="false">ROUND(T115*(1+N(Debts!$D$9)/12),2)</f>
        <v>0</v>
      </c>
      <c r="AE116" s="56" t="n">
        <f aca="false">ROUND(U115*(1+N(Debts!$D$10)/12),2)</f>
        <v>0</v>
      </c>
      <c r="AF116" s="56" t="n">
        <f aca="false">ROUND(V115*(1+N(Debts!$D$11)/12),2)</f>
        <v>0</v>
      </c>
      <c r="AG116" s="56" t="n">
        <f aca="false">ROUND(W115*(1+N(Debts!$D$12)/12),2)</f>
        <v>0</v>
      </c>
      <c r="AH116" s="56" t="n">
        <f aca="false">ROUND(X115*(1+N(Debts!$D$13)/12),2)</f>
        <v>0</v>
      </c>
      <c r="AI116" s="56" t="n">
        <f aca="false">ROUND(Y115*(1+N(Debts!$D$14)/12),2)</f>
        <v>0</v>
      </c>
      <c r="AJ116" s="56" t="n">
        <f aca="false">MIN(Z116,MAX(0,N(Debts!$E$5)))</f>
        <v>0</v>
      </c>
      <c r="AK116" s="56" t="n">
        <f aca="false">MIN(AA116,MAX(0,N(Debts!$E$6)))</f>
        <v>0</v>
      </c>
      <c r="AL116" s="56" t="n">
        <f aca="false">MIN(AB116,MAX(0,N(Debts!$E$7)))</f>
        <v>0</v>
      </c>
      <c r="AM116" s="56" t="n">
        <f aca="false">MIN(AC116,MAX(0,N(Debts!$E$8)))</f>
        <v>0</v>
      </c>
      <c r="AN116" s="56" t="n">
        <f aca="false">MIN(AD116,MAX(0,N(Debts!$E$9)))</f>
        <v>0</v>
      </c>
      <c r="AO116" s="56" t="n">
        <f aca="false">MIN(AE116,MAX(0,N(Debts!$E$10)))</f>
        <v>0</v>
      </c>
      <c r="AP116" s="56" t="n">
        <f aca="false">MIN(AF116,MAX(0,N(Debts!$E$11)))</f>
        <v>0</v>
      </c>
      <c r="AQ116" s="56" t="n">
        <f aca="false">MIN(AG116,MAX(0,N(Debts!$E$12)))</f>
        <v>0</v>
      </c>
      <c r="AR116" s="56" t="n">
        <f aca="false">MIN(AH116,MAX(0,N(Debts!$E$13)))</f>
        <v>0</v>
      </c>
      <c r="AS116" s="56" t="n">
        <f aca="false">MIN(AI116,MAX(0,N(Debts!$E$14)))</f>
        <v>0</v>
      </c>
    </row>
    <row r="117" customFormat="false" ht="15" hidden="false" customHeight="false" outlineLevel="0" collapsed="false">
      <c r="A117" s="53" t="n">
        <v>113</v>
      </c>
      <c r="B117" s="54" t="n">
        <f aca="false">EDATE('Start Here'!$B$8,112)</f>
        <v>49735</v>
      </c>
      <c r="C117" s="42" t="n">
        <f aca="false">SUM(F117:O117)</f>
        <v>0</v>
      </c>
      <c r="D117" s="42" t="n">
        <f aca="false">ROUND(SUM($Z117:$AI117)-SUM(P116:Y116),2)</f>
        <v>0</v>
      </c>
      <c r="E117" s="55" t="n">
        <f aca="false">SUM(P117:Y117)</f>
        <v>0</v>
      </c>
      <c r="F117" s="42" t="n">
        <f aca="false">AJ117+MIN(Z117-AJ117,MAX(0,'Start Here'!$B$10-SUM($AJ117:$AS117)-SUMPRODUCT(($Z$3:$AI$3&lt;Z$3)*($Z117:$AI117-$AJ117:$AS117))))</f>
        <v>0</v>
      </c>
      <c r="G117" s="42" t="n">
        <f aca="false">AK117+MIN(AA117-AK117,MAX(0,'Start Here'!$B$10-SUM($AJ117:$AS117)-SUMPRODUCT(($Z$3:$AI$3&lt;AA$3)*($Z117:$AI117-$AJ117:$AS117))))</f>
        <v>0</v>
      </c>
      <c r="H117" s="42" t="n">
        <f aca="false">AL117+MIN(AB117-AL117,MAX(0,'Start Here'!$B$10-SUM($AJ117:$AS117)-SUMPRODUCT(($Z$3:$AI$3&lt;AB$3)*($Z117:$AI117-$AJ117:$AS117))))</f>
        <v>0</v>
      </c>
      <c r="I117" s="42" t="n">
        <f aca="false">AM117+MIN(AC117-AM117,MAX(0,'Start Here'!$B$10-SUM($AJ117:$AS117)-SUMPRODUCT(($Z$3:$AI$3&lt;AC$3)*($Z117:$AI117-$AJ117:$AS117))))</f>
        <v>0</v>
      </c>
      <c r="J117" s="42" t="n">
        <f aca="false">AN117+MIN(AD117-AN117,MAX(0,'Start Here'!$B$10-SUM($AJ117:$AS117)-SUMPRODUCT(($Z$3:$AI$3&lt;AD$3)*($Z117:$AI117-$AJ117:$AS117))))</f>
        <v>0</v>
      </c>
      <c r="K117" s="42" t="n">
        <f aca="false">AO117+MIN(AE117-AO117,MAX(0,'Start Here'!$B$10-SUM($AJ117:$AS117)-SUMPRODUCT(($Z$3:$AI$3&lt;AE$3)*($Z117:$AI117-$AJ117:$AS117))))</f>
        <v>0</v>
      </c>
      <c r="L117" s="42" t="n">
        <f aca="false">AP117+MIN(AF117-AP117,MAX(0,'Start Here'!$B$10-SUM($AJ117:$AS117)-SUMPRODUCT(($Z$3:$AI$3&lt;AF$3)*($Z117:$AI117-$AJ117:$AS117))))</f>
        <v>0</v>
      </c>
      <c r="M117" s="42" t="n">
        <f aca="false">AQ117+MIN(AG117-AQ117,MAX(0,'Start Here'!$B$10-SUM($AJ117:$AS117)-SUMPRODUCT(($Z$3:$AI$3&lt;AG$3)*($Z117:$AI117-$AJ117:$AS117))))</f>
        <v>0</v>
      </c>
      <c r="N117" s="42" t="n">
        <f aca="false">AR117+MIN(AH117-AR117,MAX(0,'Start Here'!$B$10-SUM($AJ117:$AS117)-SUMPRODUCT(($Z$3:$AI$3&lt;AH$3)*($Z117:$AI117-$AJ117:$AS117))))</f>
        <v>0</v>
      </c>
      <c r="O117" s="42" t="n">
        <f aca="false">AS117+MIN(AI117-AS117,MAX(0,'Start Here'!$B$10-SUM($AJ117:$AS117)-SUMPRODUCT(($Z$3:$AI$3&lt;AI$3)*($Z117:$AI117-$AJ117:$AS117))))</f>
        <v>0</v>
      </c>
      <c r="P117" s="42" t="n">
        <f aca="false">ROUND(Z117-F117,2)</f>
        <v>0</v>
      </c>
      <c r="Q117" s="42" t="n">
        <f aca="false">ROUND(AA117-G117,2)</f>
        <v>0</v>
      </c>
      <c r="R117" s="42" t="n">
        <f aca="false">ROUND(AB117-H117,2)</f>
        <v>0</v>
      </c>
      <c r="S117" s="42" t="n">
        <f aca="false">ROUND(AC117-I117,2)</f>
        <v>0</v>
      </c>
      <c r="T117" s="42" t="n">
        <f aca="false">ROUND(AD117-J117,2)</f>
        <v>0</v>
      </c>
      <c r="U117" s="42" t="n">
        <f aca="false">ROUND(AE117-K117,2)</f>
        <v>0</v>
      </c>
      <c r="V117" s="42" t="n">
        <f aca="false">ROUND(AF117-L117,2)</f>
        <v>0</v>
      </c>
      <c r="W117" s="42" t="n">
        <f aca="false">ROUND(AG117-M117,2)</f>
        <v>0</v>
      </c>
      <c r="X117" s="42" t="n">
        <f aca="false">ROUND(AH117-N117,2)</f>
        <v>0</v>
      </c>
      <c r="Y117" s="42" t="n">
        <f aca="false">ROUND(AI117-O117,2)</f>
        <v>0</v>
      </c>
      <c r="Z117" s="56" t="n">
        <f aca="false">ROUND(P116*(1+N(Debts!$D$5)/12),2)</f>
        <v>0</v>
      </c>
      <c r="AA117" s="56" t="n">
        <f aca="false">ROUND(Q116*(1+N(Debts!$D$6)/12),2)</f>
        <v>0</v>
      </c>
      <c r="AB117" s="56" t="n">
        <f aca="false">ROUND(R116*(1+N(Debts!$D$7)/12),2)</f>
        <v>0</v>
      </c>
      <c r="AC117" s="56" t="n">
        <f aca="false">ROUND(S116*(1+N(Debts!$D$8)/12),2)</f>
        <v>0</v>
      </c>
      <c r="AD117" s="56" t="n">
        <f aca="false">ROUND(T116*(1+N(Debts!$D$9)/12),2)</f>
        <v>0</v>
      </c>
      <c r="AE117" s="56" t="n">
        <f aca="false">ROUND(U116*(1+N(Debts!$D$10)/12),2)</f>
        <v>0</v>
      </c>
      <c r="AF117" s="56" t="n">
        <f aca="false">ROUND(V116*(1+N(Debts!$D$11)/12),2)</f>
        <v>0</v>
      </c>
      <c r="AG117" s="56" t="n">
        <f aca="false">ROUND(W116*(1+N(Debts!$D$12)/12),2)</f>
        <v>0</v>
      </c>
      <c r="AH117" s="56" t="n">
        <f aca="false">ROUND(X116*(1+N(Debts!$D$13)/12),2)</f>
        <v>0</v>
      </c>
      <c r="AI117" s="56" t="n">
        <f aca="false">ROUND(Y116*(1+N(Debts!$D$14)/12),2)</f>
        <v>0</v>
      </c>
      <c r="AJ117" s="56" t="n">
        <f aca="false">MIN(Z117,MAX(0,N(Debts!$E$5)))</f>
        <v>0</v>
      </c>
      <c r="AK117" s="56" t="n">
        <f aca="false">MIN(AA117,MAX(0,N(Debts!$E$6)))</f>
        <v>0</v>
      </c>
      <c r="AL117" s="56" t="n">
        <f aca="false">MIN(AB117,MAX(0,N(Debts!$E$7)))</f>
        <v>0</v>
      </c>
      <c r="AM117" s="56" t="n">
        <f aca="false">MIN(AC117,MAX(0,N(Debts!$E$8)))</f>
        <v>0</v>
      </c>
      <c r="AN117" s="56" t="n">
        <f aca="false">MIN(AD117,MAX(0,N(Debts!$E$9)))</f>
        <v>0</v>
      </c>
      <c r="AO117" s="56" t="n">
        <f aca="false">MIN(AE117,MAX(0,N(Debts!$E$10)))</f>
        <v>0</v>
      </c>
      <c r="AP117" s="56" t="n">
        <f aca="false">MIN(AF117,MAX(0,N(Debts!$E$11)))</f>
        <v>0</v>
      </c>
      <c r="AQ117" s="56" t="n">
        <f aca="false">MIN(AG117,MAX(0,N(Debts!$E$12)))</f>
        <v>0</v>
      </c>
      <c r="AR117" s="56" t="n">
        <f aca="false">MIN(AH117,MAX(0,N(Debts!$E$13)))</f>
        <v>0</v>
      </c>
      <c r="AS117" s="56" t="n">
        <f aca="false">MIN(AI117,MAX(0,N(Debts!$E$14)))</f>
        <v>0</v>
      </c>
    </row>
    <row r="118" customFormat="false" ht="15" hidden="false" customHeight="false" outlineLevel="0" collapsed="false">
      <c r="A118" s="53" t="n">
        <v>114</v>
      </c>
      <c r="B118" s="54" t="n">
        <f aca="false">EDATE('Start Here'!$B$8,113)</f>
        <v>49766</v>
      </c>
      <c r="C118" s="42" t="n">
        <f aca="false">SUM(F118:O118)</f>
        <v>0</v>
      </c>
      <c r="D118" s="42" t="n">
        <f aca="false">ROUND(SUM($Z118:$AI118)-SUM(P117:Y117),2)</f>
        <v>0</v>
      </c>
      <c r="E118" s="55" t="n">
        <f aca="false">SUM(P118:Y118)</f>
        <v>0</v>
      </c>
      <c r="F118" s="42" t="n">
        <f aca="false">AJ118+MIN(Z118-AJ118,MAX(0,'Start Here'!$B$10-SUM($AJ118:$AS118)-SUMPRODUCT(($Z$3:$AI$3&lt;Z$3)*($Z118:$AI118-$AJ118:$AS118))))</f>
        <v>0</v>
      </c>
      <c r="G118" s="42" t="n">
        <f aca="false">AK118+MIN(AA118-AK118,MAX(0,'Start Here'!$B$10-SUM($AJ118:$AS118)-SUMPRODUCT(($Z$3:$AI$3&lt;AA$3)*($Z118:$AI118-$AJ118:$AS118))))</f>
        <v>0</v>
      </c>
      <c r="H118" s="42" t="n">
        <f aca="false">AL118+MIN(AB118-AL118,MAX(0,'Start Here'!$B$10-SUM($AJ118:$AS118)-SUMPRODUCT(($Z$3:$AI$3&lt;AB$3)*($Z118:$AI118-$AJ118:$AS118))))</f>
        <v>0</v>
      </c>
      <c r="I118" s="42" t="n">
        <f aca="false">AM118+MIN(AC118-AM118,MAX(0,'Start Here'!$B$10-SUM($AJ118:$AS118)-SUMPRODUCT(($Z$3:$AI$3&lt;AC$3)*($Z118:$AI118-$AJ118:$AS118))))</f>
        <v>0</v>
      </c>
      <c r="J118" s="42" t="n">
        <f aca="false">AN118+MIN(AD118-AN118,MAX(0,'Start Here'!$B$10-SUM($AJ118:$AS118)-SUMPRODUCT(($Z$3:$AI$3&lt;AD$3)*($Z118:$AI118-$AJ118:$AS118))))</f>
        <v>0</v>
      </c>
      <c r="K118" s="42" t="n">
        <f aca="false">AO118+MIN(AE118-AO118,MAX(0,'Start Here'!$B$10-SUM($AJ118:$AS118)-SUMPRODUCT(($Z$3:$AI$3&lt;AE$3)*($Z118:$AI118-$AJ118:$AS118))))</f>
        <v>0</v>
      </c>
      <c r="L118" s="42" t="n">
        <f aca="false">AP118+MIN(AF118-AP118,MAX(0,'Start Here'!$B$10-SUM($AJ118:$AS118)-SUMPRODUCT(($Z$3:$AI$3&lt;AF$3)*($Z118:$AI118-$AJ118:$AS118))))</f>
        <v>0</v>
      </c>
      <c r="M118" s="42" t="n">
        <f aca="false">AQ118+MIN(AG118-AQ118,MAX(0,'Start Here'!$B$10-SUM($AJ118:$AS118)-SUMPRODUCT(($Z$3:$AI$3&lt;AG$3)*($Z118:$AI118-$AJ118:$AS118))))</f>
        <v>0</v>
      </c>
      <c r="N118" s="42" t="n">
        <f aca="false">AR118+MIN(AH118-AR118,MAX(0,'Start Here'!$B$10-SUM($AJ118:$AS118)-SUMPRODUCT(($Z$3:$AI$3&lt;AH$3)*($Z118:$AI118-$AJ118:$AS118))))</f>
        <v>0</v>
      </c>
      <c r="O118" s="42" t="n">
        <f aca="false">AS118+MIN(AI118-AS118,MAX(0,'Start Here'!$B$10-SUM($AJ118:$AS118)-SUMPRODUCT(($Z$3:$AI$3&lt;AI$3)*($Z118:$AI118-$AJ118:$AS118))))</f>
        <v>0</v>
      </c>
      <c r="P118" s="42" t="n">
        <f aca="false">ROUND(Z118-F118,2)</f>
        <v>0</v>
      </c>
      <c r="Q118" s="42" t="n">
        <f aca="false">ROUND(AA118-G118,2)</f>
        <v>0</v>
      </c>
      <c r="R118" s="42" t="n">
        <f aca="false">ROUND(AB118-H118,2)</f>
        <v>0</v>
      </c>
      <c r="S118" s="42" t="n">
        <f aca="false">ROUND(AC118-I118,2)</f>
        <v>0</v>
      </c>
      <c r="T118" s="42" t="n">
        <f aca="false">ROUND(AD118-J118,2)</f>
        <v>0</v>
      </c>
      <c r="U118" s="42" t="n">
        <f aca="false">ROUND(AE118-K118,2)</f>
        <v>0</v>
      </c>
      <c r="V118" s="42" t="n">
        <f aca="false">ROUND(AF118-L118,2)</f>
        <v>0</v>
      </c>
      <c r="W118" s="42" t="n">
        <f aca="false">ROUND(AG118-M118,2)</f>
        <v>0</v>
      </c>
      <c r="X118" s="42" t="n">
        <f aca="false">ROUND(AH118-N118,2)</f>
        <v>0</v>
      </c>
      <c r="Y118" s="42" t="n">
        <f aca="false">ROUND(AI118-O118,2)</f>
        <v>0</v>
      </c>
      <c r="Z118" s="56" t="n">
        <f aca="false">ROUND(P117*(1+N(Debts!$D$5)/12),2)</f>
        <v>0</v>
      </c>
      <c r="AA118" s="56" t="n">
        <f aca="false">ROUND(Q117*(1+N(Debts!$D$6)/12),2)</f>
        <v>0</v>
      </c>
      <c r="AB118" s="56" t="n">
        <f aca="false">ROUND(R117*(1+N(Debts!$D$7)/12),2)</f>
        <v>0</v>
      </c>
      <c r="AC118" s="56" t="n">
        <f aca="false">ROUND(S117*(1+N(Debts!$D$8)/12),2)</f>
        <v>0</v>
      </c>
      <c r="AD118" s="56" t="n">
        <f aca="false">ROUND(T117*(1+N(Debts!$D$9)/12),2)</f>
        <v>0</v>
      </c>
      <c r="AE118" s="56" t="n">
        <f aca="false">ROUND(U117*(1+N(Debts!$D$10)/12),2)</f>
        <v>0</v>
      </c>
      <c r="AF118" s="56" t="n">
        <f aca="false">ROUND(V117*(1+N(Debts!$D$11)/12),2)</f>
        <v>0</v>
      </c>
      <c r="AG118" s="56" t="n">
        <f aca="false">ROUND(W117*(1+N(Debts!$D$12)/12),2)</f>
        <v>0</v>
      </c>
      <c r="AH118" s="56" t="n">
        <f aca="false">ROUND(X117*(1+N(Debts!$D$13)/12),2)</f>
        <v>0</v>
      </c>
      <c r="AI118" s="56" t="n">
        <f aca="false">ROUND(Y117*(1+N(Debts!$D$14)/12),2)</f>
        <v>0</v>
      </c>
      <c r="AJ118" s="56" t="n">
        <f aca="false">MIN(Z118,MAX(0,N(Debts!$E$5)))</f>
        <v>0</v>
      </c>
      <c r="AK118" s="56" t="n">
        <f aca="false">MIN(AA118,MAX(0,N(Debts!$E$6)))</f>
        <v>0</v>
      </c>
      <c r="AL118" s="56" t="n">
        <f aca="false">MIN(AB118,MAX(0,N(Debts!$E$7)))</f>
        <v>0</v>
      </c>
      <c r="AM118" s="56" t="n">
        <f aca="false">MIN(AC118,MAX(0,N(Debts!$E$8)))</f>
        <v>0</v>
      </c>
      <c r="AN118" s="56" t="n">
        <f aca="false">MIN(AD118,MAX(0,N(Debts!$E$9)))</f>
        <v>0</v>
      </c>
      <c r="AO118" s="56" t="n">
        <f aca="false">MIN(AE118,MAX(0,N(Debts!$E$10)))</f>
        <v>0</v>
      </c>
      <c r="AP118" s="56" t="n">
        <f aca="false">MIN(AF118,MAX(0,N(Debts!$E$11)))</f>
        <v>0</v>
      </c>
      <c r="AQ118" s="56" t="n">
        <f aca="false">MIN(AG118,MAX(0,N(Debts!$E$12)))</f>
        <v>0</v>
      </c>
      <c r="AR118" s="56" t="n">
        <f aca="false">MIN(AH118,MAX(0,N(Debts!$E$13)))</f>
        <v>0</v>
      </c>
      <c r="AS118" s="56" t="n">
        <f aca="false">MIN(AI118,MAX(0,N(Debts!$E$14)))</f>
        <v>0</v>
      </c>
    </row>
    <row r="119" customFormat="false" ht="15" hidden="false" customHeight="false" outlineLevel="0" collapsed="false">
      <c r="A119" s="53" t="n">
        <v>115</v>
      </c>
      <c r="B119" s="54" t="n">
        <f aca="false">EDATE('Start Here'!$B$8,114)</f>
        <v>49796</v>
      </c>
      <c r="C119" s="42" t="n">
        <f aca="false">SUM(F119:O119)</f>
        <v>0</v>
      </c>
      <c r="D119" s="42" t="n">
        <f aca="false">ROUND(SUM($Z119:$AI119)-SUM(P118:Y118),2)</f>
        <v>0</v>
      </c>
      <c r="E119" s="55" t="n">
        <f aca="false">SUM(P119:Y119)</f>
        <v>0</v>
      </c>
      <c r="F119" s="42" t="n">
        <f aca="false">AJ119+MIN(Z119-AJ119,MAX(0,'Start Here'!$B$10-SUM($AJ119:$AS119)-SUMPRODUCT(($Z$3:$AI$3&lt;Z$3)*($Z119:$AI119-$AJ119:$AS119))))</f>
        <v>0</v>
      </c>
      <c r="G119" s="42" t="n">
        <f aca="false">AK119+MIN(AA119-AK119,MAX(0,'Start Here'!$B$10-SUM($AJ119:$AS119)-SUMPRODUCT(($Z$3:$AI$3&lt;AA$3)*($Z119:$AI119-$AJ119:$AS119))))</f>
        <v>0</v>
      </c>
      <c r="H119" s="42" t="n">
        <f aca="false">AL119+MIN(AB119-AL119,MAX(0,'Start Here'!$B$10-SUM($AJ119:$AS119)-SUMPRODUCT(($Z$3:$AI$3&lt;AB$3)*($Z119:$AI119-$AJ119:$AS119))))</f>
        <v>0</v>
      </c>
      <c r="I119" s="42" t="n">
        <f aca="false">AM119+MIN(AC119-AM119,MAX(0,'Start Here'!$B$10-SUM($AJ119:$AS119)-SUMPRODUCT(($Z$3:$AI$3&lt;AC$3)*($Z119:$AI119-$AJ119:$AS119))))</f>
        <v>0</v>
      </c>
      <c r="J119" s="42" t="n">
        <f aca="false">AN119+MIN(AD119-AN119,MAX(0,'Start Here'!$B$10-SUM($AJ119:$AS119)-SUMPRODUCT(($Z$3:$AI$3&lt;AD$3)*($Z119:$AI119-$AJ119:$AS119))))</f>
        <v>0</v>
      </c>
      <c r="K119" s="42" t="n">
        <f aca="false">AO119+MIN(AE119-AO119,MAX(0,'Start Here'!$B$10-SUM($AJ119:$AS119)-SUMPRODUCT(($Z$3:$AI$3&lt;AE$3)*($Z119:$AI119-$AJ119:$AS119))))</f>
        <v>0</v>
      </c>
      <c r="L119" s="42" t="n">
        <f aca="false">AP119+MIN(AF119-AP119,MAX(0,'Start Here'!$B$10-SUM($AJ119:$AS119)-SUMPRODUCT(($Z$3:$AI$3&lt;AF$3)*($Z119:$AI119-$AJ119:$AS119))))</f>
        <v>0</v>
      </c>
      <c r="M119" s="42" t="n">
        <f aca="false">AQ119+MIN(AG119-AQ119,MAX(0,'Start Here'!$B$10-SUM($AJ119:$AS119)-SUMPRODUCT(($Z$3:$AI$3&lt;AG$3)*($Z119:$AI119-$AJ119:$AS119))))</f>
        <v>0</v>
      </c>
      <c r="N119" s="42" t="n">
        <f aca="false">AR119+MIN(AH119-AR119,MAX(0,'Start Here'!$B$10-SUM($AJ119:$AS119)-SUMPRODUCT(($Z$3:$AI$3&lt;AH$3)*($Z119:$AI119-$AJ119:$AS119))))</f>
        <v>0</v>
      </c>
      <c r="O119" s="42" t="n">
        <f aca="false">AS119+MIN(AI119-AS119,MAX(0,'Start Here'!$B$10-SUM($AJ119:$AS119)-SUMPRODUCT(($Z$3:$AI$3&lt;AI$3)*($Z119:$AI119-$AJ119:$AS119))))</f>
        <v>0</v>
      </c>
      <c r="P119" s="42" t="n">
        <f aca="false">ROUND(Z119-F119,2)</f>
        <v>0</v>
      </c>
      <c r="Q119" s="42" t="n">
        <f aca="false">ROUND(AA119-G119,2)</f>
        <v>0</v>
      </c>
      <c r="R119" s="42" t="n">
        <f aca="false">ROUND(AB119-H119,2)</f>
        <v>0</v>
      </c>
      <c r="S119" s="42" t="n">
        <f aca="false">ROUND(AC119-I119,2)</f>
        <v>0</v>
      </c>
      <c r="T119" s="42" t="n">
        <f aca="false">ROUND(AD119-J119,2)</f>
        <v>0</v>
      </c>
      <c r="U119" s="42" t="n">
        <f aca="false">ROUND(AE119-K119,2)</f>
        <v>0</v>
      </c>
      <c r="V119" s="42" t="n">
        <f aca="false">ROUND(AF119-L119,2)</f>
        <v>0</v>
      </c>
      <c r="W119" s="42" t="n">
        <f aca="false">ROUND(AG119-M119,2)</f>
        <v>0</v>
      </c>
      <c r="X119" s="42" t="n">
        <f aca="false">ROUND(AH119-N119,2)</f>
        <v>0</v>
      </c>
      <c r="Y119" s="42" t="n">
        <f aca="false">ROUND(AI119-O119,2)</f>
        <v>0</v>
      </c>
      <c r="Z119" s="56" t="n">
        <f aca="false">ROUND(P118*(1+N(Debts!$D$5)/12),2)</f>
        <v>0</v>
      </c>
      <c r="AA119" s="56" t="n">
        <f aca="false">ROUND(Q118*(1+N(Debts!$D$6)/12),2)</f>
        <v>0</v>
      </c>
      <c r="AB119" s="56" t="n">
        <f aca="false">ROUND(R118*(1+N(Debts!$D$7)/12),2)</f>
        <v>0</v>
      </c>
      <c r="AC119" s="56" t="n">
        <f aca="false">ROUND(S118*(1+N(Debts!$D$8)/12),2)</f>
        <v>0</v>
      </c>
      <c r="AD119" s="56" t="n">
        <f aca="false">ROUND(T118*(1+N(Debts!$D$9)/12),2)</f>
        <v>0</v>
      </c>
      <c r="AE119" s="56" t="n">
        <f aca="false">ROUND(U118*(1+N(Debts!$D$10)/12),2)</f>
        <v>0</v>
      </c>
      <c r="AF119" s="56" t="n">
        <f aca="false">ROUND(V118*(1+N(Debts!$D$11)/12),2)</f>
        <v>0</v>
      </c>
      <c r="AG119" s="56" t="n">
        <f aca="false">ROUND(W118*(1+N(Debts!$D$12)/12),2)</f>
        <v>0</v>
      </c>
      <c r="AH119" s="56" t="n">
        <f aca="false">ROUND(X118*(1+N(Debts!$D$13)/12),2)</f>
        <v>0</v>
      </c>
      <c r="AI119" s="56" t="n">
        <f aca="false">ROUND(Y118*(1+N(Debts!$D$14)/12),2)</f>
        <v>0</v>
      </c>
      <c r="AJ119" s="56" t="n">
        <f aca="false">MIN(Z119,MAX(0,N(Debts!$E$5)))</f>
        <v>0</v>
      </c>
      <c r="AK119" s="56" t="n">
        <f aca="false">MIN(AA119,MAX(0,N(Debts!$E$6)))</f>
        <v>0</v>
      </c>
      <c r="AL119" s="56" t="n">
        <f aca="false">MIN(AB119,MAX(0,N(Debts!$E$7)))</f>
        <v>0</v>
      </c>
      <c r="AM119" s="56" t="n">
        <f aca="false">MIN(AC119,MAX(0,N(Debts!$E$8)))</f>
        <v>0</v>
      </c>
      <c r="AN119" s="56" t="n">
        <f aca="false">MIN(AD119,MAX(0,N(Debts!$E$9)))</f>
        <v>0</v>
      </c>
      <c r="AO119" s="56" t="n">
        <f aca="false">MIN(AE119,MAX(0,N(Debts!$E$10)))</f>
        <v>0</v>
      </c>
      <c r="AP119" s="56" t="n">
        <f aca="false">MIN(AF119,MAX(0,N(Debts!$E$11)))</f>
        <v>0</v>
      </c>
      <c r="AQ119" s="56" t="n">
        <f aca="false">MIN(AG119,MAX(0,N(Debts!$E$12)))</f>
        <v>0</v>
      </c>
      <c r="AR119" s="56" t="n">
        <f aca="false">MIN(AH119,MAX(0,N(Debts!$E$13)))</f>
        <v>0</v>
      </c>
      <c r="AS119" s="56" t="n">
        <f aca="false">MIN(AI119,MAX(0,N(Debts!$E$14)))</f>
        <v>0</v>
      </c>
    </row>
    <row r="120" customFormat="false" ht="15" hidden="false" customHeight="false" outlineLevel="0" collapsed="false">
      <c r="A120" s="53" t="n">
        <v>116</v>
      </c>
      <c r="B120" s="54" t="n">
        <f aca="false">EDATE('Start Here'!$B$8,115)</f>
        <v>49827</v>
      </c>
      <c r="C120" s="42" t="n">
        <f aca="false">SUM(F120:O120)</f>
        <v>0</v>
      </c>
      <c r="D120" s="42" t="n">
        <f aca="false">ROUND(SUM($Z120:$AI120)-SUM(P119:Y119),2)</f>
        <v>0</v>
      </c>
      <c r="E120" s="55" t="n">
        <f aca="false">SUM(P120:Y120)</f>
        <v>0</v>
      </c>
      <c r="F120" s="42" t="n">
        <f aca="false">AJ120+MIN(Z120-AJ120,MAX(0,'Start Here'!$B$10-SUM($AJ120:$AS120)-SUMPRODUCT(($Z$3:$AI$3&lt;Z$3)*($Z120:$AI120-$AJ120:$AS120))))</f>
        <v>0</v>
      </c>
      <c r="G120" s="42" t="n">
        <f aca="false">AK120+MIN(AA120-AK120,MAX(0,'Start Here'!$B$10-SUM($AJ120:$AS120)-SUMPRODUCT(($Z$3:$AI$3&lt;AA$3)*($Z120:$AI120-$AJ120:$AS120))))</f>
        <v>0</v>
      </c>
      <c r="H120" s="42" t="n">
        <f aca="false">AL120+MIN(AB120-AL120,MAX(0,'Start Here'!$B$10-SUM($AJ120:$AS120)-SUMPRODUCT(($Z$3:$AI$3&lt;AB$3)*($Z120:$AI120-$AJ120:$AS120))))</f>
        <v>0</v>
      </c>
      <c r="I120" s="42" t="n">
        <f aca="false">AM120+MIN(AC120-AM120,MAX(0,'Start Here'!$B$10-SUM($AJ120:$AS120)-SUMPRODUCT(($Z$3:$AI$3&lt;AC$3)*($Z120:$AI120-$AJ120:$AS120))))</f>
        <v>0</v>
      </c>
      <c r="J120" s="42" t="n">
        <f aca="false">AN120+MIN(AD120-AN120,MAX(0,'Start Here'!$B$10-SUM($AJ120:$AS120)-SUMPRODUCT(($Z$3:$AI$3&lt;AD$3)*($Z120:$AI120-$AJ120:$AS120))))</f>
        <v>0</v>
      </c>
      <c r="K120" s="42" t="n">
        <f aca="false">AO120+MIN(AE120-AO120,MAX(0,'Start Here'!$B$10-SUM($AJ120:$AS120)-SUMPRODUCT(($Z$3:$AI$3&lt;AE$3)*($Z120:$AI120-$AJ120:$AS120))))</f>
        <v>0</v>
      </c>
      <c r="L120" s="42" t="n">
        <f aca="false">AP120+MIN(AF120-AP120,MAX(0,'Start Here'!$B$10-SUM($AJ120:$AS120)-SUMPRODUCT(($Z$3:$AI$3&lt;AF$3)*($Z120:$AI120-$AJ120:$AS120))))</f>
        <v>0</v>
      </c>
      <c r="M120" s="42" t="n">
        <f aca="false">AQ120+MIN(AG120-AQ120,MAX(0,'Start Here'!$B$10-SUM($AJ120:$AS120)-SUMPRODUCT(($Z$3:$AI$3&lt;AG$3)*($Z120:$AI120-$AJ120:$AS120))))</f>
        <v>0</v>
      </c>
      <c r="N120" s="42" t="n">
        <f aca="false">AR120+MIN(AH120-AR120,MAX(0,'Start Here'!$B$10-SUM($AJ120:$AS120)-SUMPRODUCT(($Z$3:$AI$3&lt;AH$3)*($Z120:$AI120-$AJ120:$AS120))))</f>
        <v>0</v>
      </c>
      <c r="O120" s="42" t="n">
        <f aca="false">AS120+MIN(AI120-AS120,MAX(0,'Start Here'!$B$10-SUM($AJ120:$AS120)-SUMPRODUCT(($Z$3:$AI$3&lt;AI$3)*($Z120:$AI120-$AJ120:$AS120))))</f>
        <v>0</v>
      </c>
      <c r="P120" s="42" t="n">
        <f aca="false">ROUND(Z120-F120,2)</f>
        <v>0</v>
      </c>
      <c r="Q120" s="42" t="n">
        <f aca="false">ROUND(AA120-G120,2)</f>
        <v>0</v>
      </c>
      <c r="R120" s="42" t="n">
        <f aca="false">ROUND(AB120-H120,2)</f>
        <v>0</v>
      </c>
      <c r="S120" s="42" t="n">
        <f aca="false">ROUND(AC120-I120,2)</f>
        <v>0</v>
      </c>
      <c r="T120" s="42" t="n">
        <f aca="false">ROUND(AD120-J120,2)</f>
        <v>0</v>
      </c>
      <c r="U120" s="42" t="n">
        <f aca="false">ROUND(AE120-K120,2)</f>
        <v>0</v>
      </c>
      <c r="V120" s="42" t="n">
        <f aca="false">ROUND(AF120-L120,2)</f>
        <v>0</v>
      </c>
      <c r="W120" s="42" t="n">
        <f aca="false">ROUND(AG120-M120,2)</f>
        <v>0</v>
      </c>
      <c r="X120" s="42" t="n">
        <f aca="false">ROUND(AH120-N120,2)</f>
        <v>0</v>
      </c>
      <c r="Y120" s="42" t="n">
        <f aca="false">ROUND(AI120-O120,2)</f>
        <v>0</v>
      </c>
      <c r="Z120" s="56" t="n">
        <f aca="false">ROUND(P119*(1+N(Debts!$D$5)/12),2)</f>
        <v>0</v>
      </c>
      <c r="AA120" s="56" t="n">
        <f aca="false">ROUND(Q119*(1+N(Debts!$D$6)/12),2)</f>
        <v>0</v>
      </c>
      <c r="AB120" s="56" t="n">
        <f aca="false">ROUND(R119*(1+N(Debts!$D$7)/12),2)</f>
        <v>0</v>
      </c>
      <c r="AC120" s="56" t="n">
        <f aca="false">ROUND(S119*(1+N(Debts!$D$8)/12),2)</f>
        <v>0</v>
      </c>
      <c r="AD120" s="56" t="n">
        <f aca="false">ROUND(T119*(1+N(Debts!$D$9)/12),2)</f>
        <v>0</v>
      </c>
      <c r="AE120" s="56" t="n">
        <f aca="false">ROUND(U119*(1+N(Debts!$D$10)/12),2)</f>
        <v>0</v>
      </c>
      <c r="AF120" s="56" t="n">
        <f aca="false">ROUND(V119*(1+N(Debts!$D$11)/12),2)</f>
        <v>0</v>
      </c>
      <c r="AG120" s="56" t="n">
        <f aca="false">ROUND(W119*(1+N(Debts!$D$12)/12),2)</f>
        <v>0</v>
      </c>
      <c r="AH120" s="56" t="n">
        <f aca="false">ROUND(X119*(1+N(Debts!$D$13)/12),2)</f>
        <v>0</v>
      </c>
      <c r="AI120" s="56" t="n">
        <f aca="false">ROUND(Y119*(1+N(Debts!$D$14)/12),2)</f>
        <v>0</v>
      </c>
      <c r="AJ120" s="56" t="n">
        <f aca="false">MIN(Z120,MAX(0,N(Debts!$E$5)))</f>
        <v>0</v>
      </c>
      <c r="AK120" s="56" t="n">
        <f aca="false">MIN(AA120,MAX(0,N(Debts!$E$6)))</f>
        <v>0</v>
      </c>
      <c r="AL120" s="56" t="n">
        <f aca="false">MIN(AB120,MAX(0,N(Debts!$E$7)))</f>
        <v>0</v>
      </c>
      <c r="AM120" s="56" t="n">
        <f aca="false">MIN(AC120,MAX(0,N(Debts!$E$8)))</f>
        <v>0</v>
      </c>
      <c r="AN120" s="56" t="n">
        <f aca="false">MIN(AD120,MAX(0,N(Debts!$E$9)))</f>
        <v>0</v>
      </c>
      <c r="AO120" s="56" t="n">
        <f aca="false">MIN(AE120,MAX(0,N(Debts!$E$10)))</f>
        <v>0</v>
      </c>
      <c r="AP120" s="56" t="n">
        <f aca="false">MIN(AF120,MAX(0,N(Debts!$E$11)))</f>
        <v>0</v>
      </c>
      <c r="AQ120" s="56" t="n">
        <f aca="false">MIN(AG120,MAX(0,N(Debts!$E$12)))</f>
        <v>0</v>
      </c>
      <c r="AR120" s="56" t="n">
        <f aca="false">MIN(AH120,MAX(0,N(Debts!$E$13)))</f>
        <v>0</v>
      </c>
      <c r="AS120" s="56" t="n">
        <f aca="false">MIN(AI120,MAX(0,N(Debts!$E$14)))</f>
        <v>0</v>
      </c>
    </row>
    <row r="121" customFormat="false" ht="15" hidden="false" customHeight="false" outlineLevel="0" collapsed="false">
      <c r="A121" s="53" t="n">
        <v>117</v>
      </c>
      <c r="B121" s="54" t="n">
        <f aca="false">EDATE('Start Here'!$B$8,116)</f>
        <v>49857</v>
      </c>
      <c r="C121" s="42" t="n">
        <f aca="false">SUM(F121:O121)</f>
        <v>0</v>
      </c>
      <c r="D121" s="42" t="n">
        <f aca="false">ROUND(SUM($Z121:$AI121)-SUM(P120:Y120),2)</f>
        <v>0</v>
      </c>
      <c r="E121" s="55" t="n">
        <f aca="false">SUM(P121:Y121)</f>
        <v>0</v>
      </c>
      <c r="F121" s="42" t="n">
        <f aca="false">AJ121+MIN(Z121-AJ121,MAX(0,'Start Here'!$B$10-SUM($AJ121:$AS121)-SUMPRODUCT(($Z$3:$AI$3&lt;Z$3)*($Z121:$AI121-$AJ121:$AS121))))</f>
        <v>0</v>
      </c>
      <c r="G121" s="42" t="n">
        <f aca="false">AK121+MIN(AA121-AK121,MAX(0,'Start Here'!$B$10-SUM($AJ121:$AS121)-SUMPRODUCT(($Z$3:$AI$3&lt;AA$3)*($Z121:$AI121-$AJ121:$AS121))))</f>
        <v>0</v>
      </c>
      <c r="H121" s="42" t="n">
        <f aca="false">AL121+MIN(AB121-AL121,MAX(0,'Start Here'!$B$10-SUM($AJ121:$AS121)-SUMPRODUCT(($Z$3:$AI$3&lt;AB$3)*($Z121:$AI121-$AJ121:$AS121))))</f>
        <v>0</v>
      </c>
      <c r="I121" s="42" t="n">
        <f aca="false">AM121+MIN(AC121-AM121,MAX(0,'Start Here'!$B$10-SUM($AJ121:$AS121)-SUMPRODUCT(($Z$3:$AI$3&lt;AC$3)*($Z121:$AI121-$AJ121:$AS121))))</f>
        <v>0</v>
      </c>
      <c r="J121" s="42" t="n">
        <f aca="false">AN121+MIN(AD121-AN121,MAX(0,'Start Here'!$B$10-SUM($AJ121:$AS121)-SUMPRODUCT(($Z$3:$AI$3&lt;AD$3)*($Z121:$AI121-$AJ121:$AS121))))</f>
        <v>0</v>
      </c>
      <c r="K121" s="42" t="n">
        <f aca="false">AO121+MIN(AE121-AO121,MAX(0,'Start Here'!$B$10-SUM($AJ121:$AS121)-SUMPRODUCT(($Z$3:$AI$3&lt;AE$3)*($Z121:$AI121-$AJ121:$AS121))))</f>
        <v>0</v>
      </c>
      <c r="L121" s="42" t="n">
        <f aca="false">AP121+MIN(AF121-AP121,MAX(0,'Start Here'!$B$10-SUM($AJ121:$AS121)-SUMPRODUCT(($Z$3:$AI$3&lt;AF$3)*($Z121:$AI121-$AJ121:$AS121))))</f>
        <v>0</v>
      </c>
      <c r="M121" s="42" t="n">
        <f aca="false">AQ121+MIN(AG121-AQ121,MAX(0,'Start Here'!$B$10-SUM($AJ121:$AS121)-SUMPRODUCT(($Z$3:$AI$3&lt;AG$3)*($Z121:$AI121-$AJ121:$AS121))))</f>
        <v>0</v>
      </c>
      <c r="N121" s="42" t="n">
        <f aca="false">AR121+MIN(AH121-AR121,MAX(0,'Start Here'!$B$10-SUM($AJ121:$AS121)-SUMPRODUCT(($Z$3:$AI$3&lt;AH$3)*($Z121:$AI121-$AJ121:$AS121))))</f>
        <v>0</v>
      </c>
      <c r="O121" s="42" t="n">
        <f aca="false">AS121+MIN(AI121-AS121,MAX(0,'Start Here'!$B$10-SUM($AJ121:$AS121)-SUMPRODUCT(($Z$3:$AI$3&lt;AI$3)*($Z121:$AI121-$AJ121:$AS121))))</f>
        <v>0</v>
      </c>
      <c r="P121" s="42" t="n">
        <f aca="false">ROUND(Z121-F121,2)</f>
        <v>0</v>
      </c>
      <c r="Q121" s="42" t="n">
        <f aca="false">ROUND(AA121-G121,2)</f>
        <v>0</v>
      </c>
      <c r="R121" s="42" t="n">
        <f aca="false">ROUND(AB121-H121,2)</f>
        <v>0</v>
      </c>
      <c r="S121" s="42" t="n">
        <f aca="false">ROUND(AC121-I121,2)</f>
        <v>0</v>
      </c>
      <c r="T121" s="42" t="n">
        <f aca="false">ROUND(AD121-J121,2)</f>
        <v>0</v>
      </c>
      <c r="U121" s="42" t="n">
        <f aca="false">ROUND(AE121-K121,2)</f>
        <v>0</v>
      </c>
      <c r="V121" s="42" t="n">
        <f aca="false">ROUND(AF121-L121,2)</f>
        <v>0</v>
      </c>
      <c r="W121" s="42" t="n">
        <f aca="false">ROUND(AG121-M121,2)</f>
        <v>0</v>
      </c>
      <c r="X121" s="42" t="n">
        <f aca="false">ROUND(AH121-N121,2)</f>
        <v>0</v>
      </c>
      <c r="Y121" s="42" t="n">
        <f aca="false">ROUND(AI121-O121,2)</f>
        <v>0</v>
      </c>
      <c r="Z121" s="56" t="n">
        <f aca="false">ROUND(P120*(1+N(Debts!$D$5)/12),2)</f>
        <v>0</v>
      </c>
      <c r="AA121" s="56" t="n">
        <f aca="false">ROUND(Q120*(1+N(Debts!$D$6)/12),2)</f>
        <v>0</v>
      </c>
      <c r="AB121" s="56" t="n">
        <f aca="false">ROUND(R120*(1+N(Debts!$D$7)/12),2)</f>
        <v>0</v>
      </c>
      <c r="AC121" s="56" t="n">
        <f aca="false">ROUND(S120*(1+N(Debts!$D$8)/12),2)</f>
        <v>0</v>
      </c>
      <c r="AD121" s="56" t="n">
        <f aca="false">ROUND(T120*(1+N(Debts!$D$9)/12),2)</f>
        <v>0</v>
      </c>
      <c r="AE121" s="56" t="n">
        <f aca="false">ROUND(U120*(1+N(Debts!$D$10)/12),2)</f>
        <v>0</v>
      </c>
      <c r="AF121" s="56" t="n">
        <f aca="false">ROUND(V120*(1+N(Debts!$D$11)/12),2)</f>
        <v>0</v>
      </c>
      <c r="AG121" s="56" t="n">
        <f aca="false">ROUND(W120*(1+N(Debts!$D$12)/12),2)</f>
        <v>0</v>
      </c>
      <c r="AH121" s="56" t="n">
        <f aca="false">ROUND(X120*(1+N(Debts!$D$13)/12),2)</f>
        <v>0</v>
      </c>
      <c r="AI121" s="56" t="n">
        <f aca="false">ROUND(Y120*(1+N(Debts!$D$14)/12),2)</f>
        <v>0</v>
      </c>
      <c r="AJ121" s="56" t="n">
        <f aca="false">MIN(Z121,MAX(0,N(Debts!$E$5)))</f>
        <v>0</v>
      </c>
      <c r="AK121" s="56" t="n">
        <f aca="false">MIN(AA121,MAX(0,N(Debts!$E$6)))</f>
        <v>0</v>
      </c>
      <c r="AL121" s="56" t="n">
        <f aca="false">MIN(AB121,MAX(0,N(Debts!$E$7)))</f>
        <v>0</v>
      </c>
      <c r="AM121" s="56" t="n">
        <f aca="false">MIN(AC121,MAX(0,N(Debts!$E$8)))</f>
        <v>0</v>
      </c>
      <c r="AN121" s="56" t="n">
        <f aca="false">MIN(AD121,MAX(0,N(Debts!$E$9)))</f>
        <v>0</v>
      </c>
      <c r="AO121" s="56" t="n">
        <f aca="false">MIN(AE121,MAX(0,N(Debts!$E$10)))</f>
        <v>0</v>
      </c>
      <c r="AP121" s="56" t="n">
        <f aca="false">MIN(AF121,MAX(0,N(Debts!$E$11)))</f>
        <v>0</v>
      </c>
      <c r="AQ121" s="56" t="n">
        <f aca="false">MIN(AG121,MAX(0,N(Debts!$E$12)))</f>
        <v>0</v>
      </c>
      <c r="AR121" s="56" t="n">
        <f aca="false">MIN(AH121,MAX(0,N(Debts!$E$13)))</f>
        <v>0</v>
      </c>
      <c r="AS121" s="56" t="n">
        <f aca="false">MIN(AI121,MAX(0,N(Debts!$E$14)))</f>
        <v>0</v>
      </c>
    </row>
    <row r="122" customFormat="false" ht="15" hidden="false" customHeight="false" outlineLevel="0" collapsed="false">
      <c r="A122" s="53" t="n">
        <v>118</v>
      </c>
      <c r="B122" s="54" t="n">
        <f aca="false">EDATE('Start Here'!$B$8,117)</f>
        <v>49888</v>
      </c>
      <c r="C122" s="42" t="n">
        <f aca="false">SUM(F122:O122)</f>
        <v>0</v>
      </c>
      <c r="D122" s="42" t="n">
        <f aca="false">ROUND(SUM($Z122:$AI122)-SUM(P121:Y121),2)</f>
        <v>0</v>
      </c>
      <c r="E122" s="55" t="n">
        <f aca="false">SUM(P122:Y122)</f>
        <v>0</v>
      </c>
      <c r="F122" s="42" t="n">
        <f aca="false">AJ122+MIN(Z122-AJ122,MAX(0,'Start Here'!$B$10-SUM($AJ122:$AS122)-SUMPRODUCT(($Z$3:$AI$3&lt;Z$3)*($Z122:$AI122-$AJ122:$AS122))))</f>
        <v>0</v>
      </c>
      <c r="G122" s="42" t="n">
        <f aca="false">AK122+MIN(AA122-AK122,MAX(0,'Start Here'!$B$10-SUM($AJ122:$AS122)-SUMPRODUCT(($Z$3:$AI$3&lt;AA$3)*($Z122:$AI122-$AJ122:$AS122))))</f>
        <v>0</v>
      </c>
      <c r="H122" s="42" t="n">
        <f aca="false">AL122+MIN(AB122-AL122,MAX(0,'Start Here'!$B$10-SUM($AJ122:$AS122)-SUMPRODUCT(($Z$3:$AI$3&lt;AB$3)*($Z122:$AI122-$AJ122:$AS122))))</f>
        <v>0</v>
      </c>
      <c r="I122" s="42" t="n">
        <f aca="false">AM122+MIN(AC122-AM122,MAX(0,'Start Here'!$B$10-SUM($AJ122:$AS122)-SUMPRODUCT(($Z$3:$AI$3&lt;AC$3)*($Z122:$AI122-$AJ122:$AS122))))</f>
        <v>0</v>
      </c>
      <c r="J122" s="42" t="n">
        <f aca="false">AN122+MIN(AD122-AN122,MAX(0,'Start Here'!$B$10-SUM($AJ122:$AS122)-SUMPRODUCT(($Z$3:$AI$3&lt;AD$3)*($Z122:$AI122-$AJ122:$AS122))))</f>
        <v>0</v>
      </c>
      <c r="K122" s="42" t="n">
        <f aca="false">AO122+MIN(AE122-AO122,MAX(0,'Start Here'!$B$10-SUM($AJ122:$AS122)-SUMPRODUCT(($Z$3:$AI$3&lt;AE$3)*($Z122:$AI122-$AJ122:$AS122))))</f>
        <v>0</v>
      </c>
      <c r="L122" s="42" t="n">
        <f aca="false">AP122+MIN(AF122-AP122,MAX(0,'Start Here'!$B$10-SUM($AJ122:$AS122)-SUMPRODUCT(($Z$3:$AI$3&lt;AF$3)*($Z122:$AI122-$AJ122:$AS122))))</f>
        <v>0</v>
      </c>
      <c r="M122" s="42" t="n">
        <f aca="false">AQ122+MIN(AG122-AQ122,MAX(0,'Start Here'!$B$10-SUM($AJ122:$AS122)-SUMPRODUCT(($Z$3:$AI$3&lt;AG$3)*($Z122:$AI122-$AJ122:$AS122))))</f>
        <v>0</v>
      </c>
      <c r="N122" s="42" t="n">
        <f aca="false">AR122+MIN(AH122-AR122,MAX(0,'Start Here'!$B$10-SUM($AJ122:$AS122)-SUMPRODUCT(($Z$3:$AI$3&lt;AH$3)*($Z122:$AI122-$AJ122:$AS122))))</f>
        <v>0</v>
      </c>
      <c r="O122" s="42" t="n">
        <f aca="false">AS122+MIN(AI122-AS122,MAX(0,'Start Here'!$B$10-SUM($AJ122:$AS122)-SUMPRODUCT(($Z$3:$AI$3&lt;AI$3)*($Z122:$AI122-$AJ122:$AS122))))</f>
        <v>0</v>
      </c>
      <c r="P122" s="42" t="n">
        <f aca="false">ROUND(Z122-F122,2)</f>
        <v>0</v>
      </c>
      <c r="Q122" s="42" t="n">
        <f aca="false">ROUND(AA122-G122,2)</f>
        <v>0</v>
      </c>
      <c r="R122" s="42" t="n">
        <f aca="false">ROUND(AB122-H122,2)</f>
        <v>0</v>
      </c>
      <c r="S122" s="42" t="n">
        <f aca="false">ROUND(AC122-I122,2)</f>
        <v>0</v>
      </c>
      <c r="T122" s="42" t="n">
        <f aca="false">ROUND(AD122-J122,2)</f>
        <v>0</v>
      </c>
      <c r="U122" s="42" t="n">
        <f aca="false">ROUND(AE122-K122,2)</f>
        <v>0</v>
      </c>
      <c r="V122" s="42" t="n">
        <f aca="false">ROUND(AF122-L122,2)</f>
        <v>0</v>
      </c>
      <c r="W122" s="42" t="n">
        <f aca="false">ROUND(AG122-M122,2)</f>
        <v>0</v>
      </c>
      <c r="X122" s="42" t="n">
        <f aca="false">ROUND(AH122-N122,2)</f>
        <v>0</v>
      </c>
      <c r="Y122" s="42" t="n">
        <f aca="false">ROUND(AI122-O122,2)</f>
        <v>0</v>
      </c>
      <c r="Z122" s="56" t="n">
        <f aca="false">ROUND(P121*(1+N(Debts!$D$5)/12),2)</f>
        <v>0</v>
      </c>
      <c r="AA122" s="56" t="n">
        <f aca="false">ROUND(Q121*(1+N(Debts!$D$6)/12),2)</f>
        <v>0</v>
      </c>
      <c r="AB122" s="56" t="n">
        <f aca="false">ROUND(R121*(1+N(Debts!$D$7)/12),2)</f>
        <v>0</v>
      </c>
      <c r="AC122" s="56" t="n">
        <f aca="false">ROUND(S121*(1+N(Debts!$D$8)/12),2)</f>
        <v>0</v>
      </c>
      <c r="AD122" s="56" t="n">
        <f aca="false">ROUND(T121*(1+N(Debts!$D$9)/12),2)</f>
        <v>0</v>
      </c>
      <c r="AE122" s="56" t="n">
        <f aca="false">ROUND(U121*(1+N(Debts!$D$10)/12),2)</f>
        <v>0</v>
      </c>
      <c r="AF122" s="56" t="n">
        <f aca="false">ROUND(V121*(1+N(Debts!$D$11)/12),2)</f>
        <v>0</v>
      </c>
      <c r="AG122" s="56" t="n">
        <f aca="false">ROUND(W121*(1+N(Debts!$D$12)/12),2)</f>
        <v>0</v>
      </c>
      <c r="AH122" s="56" t="n">
        <f aca="false">ROUND(X121*(1+N(Debts!$D$13)/12),2)</f>
        <v>0</v>
      </c>
      <c r="AI122" s="56" t="n">
        <f aca="false">ROUND(Y121*(1+N(Debts!$D$14)/12),2)</f>
        <v>0</v>
      </c>
      <c r="AJ122" s="56" t="n">
        <f aca="false">MIN(Z122,MAX(0,N(Debts!$E$5)))</f>
        <v>0</v>
      </c>
      <c r="AK122" s="56" t="n">
        <f aca="false">MIN(AA122,MAX(0,N(Debts!$E$6)))</f>
        <v>0</v>
      </c>
      <c r="AL122" s="56" t="n">
        <f aca="false">MIN(AB122,MAX(0,N(Debts!$E$7)))</f>
        <v>0</v>
      </c>
      <c r="AM122" s="56" t="n">
        <f aca="false">MIN(AC122,MAX(0,N(Debts!$E$8)))</f>
        <v>0</v>
      </c>
      <c r="AN122" s="56" t="n">
        <f aca="false">MIN(AD122,MAX(0,N(Debts!$E$9)))</f>
        <v>0</v>
      </c>
      <c r="AO122" s="56" t="n">
        <f aca="false">MIN(AE122,MAX(0,N(Debts!$E$10)))</f>
        <v>0</v>
      </c>
      <c r="AP122" s="56" t="n">
        <f aca="false">MIN(AF122,MAX(0,N(Debts!$E$11)))</f>
        <v>0</v>
      </c>
      <c r="AQ122" s="56" t="n">
        <f aca="false">MIN(AG122,MAX(0,N(Debts!$E$12)))</f>
        <v>0</v>
      </c>
      <c r="AR122" s="56" t="n">
        <f aca="false">MIN(AH122,MAX(0,N(Debts!$E$13)))</f>
        <v>0</v>
      </c>
      <c r="AS122" s="56" t="n">
        <f aca="false">MIN(AI122,MAX(0,N(Debts!$E$14)))</f>
        <v>0</v>
      </c>
    </row>
    <row r="123" customFormat="false" ht="15" hidden="false" customHeight="false" outlineLevel="0" collapsed="false">
      <c r="A123" s="53" t="n">
        <v>119</v>
      </c>
      <c r="B123" s="54" t="n">
        <f aca="false">EDATE('Start Here'!$B$8,118)</f>
        <v>49919</v>
      </c>
      <c r="C123" s="42" t="n">
        <f aca="false">SUM(F123:O123)</f>
        <v>0</v>
      </c>
      <c r="D123" s="42" t="n">
        <f aca="false">ROUND(SUM($Z123:$AI123)-SUM(P122:Y122),2)</f>
        <v>0</v>
      </c>
      <c r="E123" s="55" t="n">
        <f aca="false">SUM(P123:Y123)</f>
        <v>0</v>
      </c>
      <c r="F123" s="42" t="n">
        <f aca="false">AJ123+MIN(Z123-AJ123,MAX(0,'Start Here'!$B$10-SUM($AJ123:$AS123)-SUMPRODUCT(($Z$3:$AI$3&lt;Z$3)*($Z123:$AI123-$AJ123:$AS123))))</f>
        <v>0</v>
      </c>
      <c r="G123" s="42" t="n">
        <f aca="false">AK123+MIN(AA123-AK123,MAX(0,'Start Here'!$B$10-SUM($AJ123:$AS123)-SUMPRODUCT(($Z$3:$AI$3&lt;AA$3)*($Z123:$AI123-$AJ123:$AS123))))</f>
        <v>0</v>
      </c>
      <c r="H123" s="42" t="n">
        <f aca="false">AL123+MIN(AB123-AL123,MAX(0,'Start Here'!$B$10-SUM($AJ123:$AS123)-SUMPRODUCT(($Z$3:$AI$3&lt;AB$3)*($Z123:$AI123-$AJ123:$AS123))))</f>
        <v>0</v>
      </c>
      <c r="I123" s="42" t="n">
        <f aca="false">AM123+MIN(AC123-AM123,MAX(0,'Start Here'!$B$10-SUM($AJ123:$AS123)-SUMPRODUCT(($Z$3:$AI$3&lt;AC$3)*($Z123:$AI123-$AJ123:$AS123))))</f>
        <v>0</v>
      </c>
      <c r="J123" s="42" t="n">
        <f aca="false">AN123+MIN(AD123-AN123,MAX(0,'Start Here'!$B$10-SUM($AJ123:$AS123)-SUMPRODUCT(($Z$3:$AI$3&lt;AD$3)*($Z123:$AI123-$AJ123:$AS123))))</f>
        <v>0</v>
      </c>
      <c r="K123" s="42" t="n">
        <f aca="false">AO123+MIN(AE123-AO123,MAX(0,'Start Here'!$B$10-SUM($AJ123:$AS123)-SUMPRODUCT(($Z$3:$AI$3&lt;AE$3)*($Z123:$AI123-$AJ123:$AS123))))</f>
        <v>0</v>
      </c>
      <c r="L123" s="42" t="n">
        <f aca="false">AP123+MIN(AF123-AP123,MAX(0,'Start Here'!$B$10-SUM($AJ123:$AS123)-SUMPRODUCT(($Z$3:$AI$3&lt;AF$3)*($Z123:$AI123-$AJ123:$AS123))))</f>
        <v>0</v>
      </c>
      <c r="M123" s="42" t="n">
        <f aca="false">AQ123+MIN(AG123-AQ123,MAX(0,'Start Here'!$B$10-SUM($AJ123:$AS123)-SUMPRODUCT(($Z$3:$AI$3&lt;AG$3)*($Z123:$AI123-$AJ123:$AS123))))</f>
        <v>0</v>
      </c>
      <c r="N123" s="42" t="n">
        <f aca="false">AR123+MIN(AH123-AR123,MAX(0,'Start Here'!$B$10-SUM($AJ123:$AS123)-SUMPRODUCT(($Z$3:$AI$3&lt;AH$3)*($Z123:$AI123-$AJ123:$AS123))))</f>
        <v>0</v>
      </c>
      <c r="O123" s="42" t="n">
        <f aca="false">AS123+MIN(AI123-AS123,MAX(0,'Start Here'!$B$10-SUM($AJ123:$AS123)-SUMPRODUCT(($Z$3:$AI$3&lt;AI$3)*($Z123:$AI123-$AJ123:$AS123))))</f>
        <v>0</v>
      </c>
      <c r="P123" s="42" t="n">
        <f aca="false">ROUND(Z123-F123,2)</f>
        <v>0</v>
      </c>
      <c r="Q123" s="42" t="n">
        <f aca="false">ROUND(AA123-G123,2)</f>
        <v>0</v>
      </c>
      <c r="R123" s="42" t="n">
        <f aca="false">ROUND(AB123-H123,2)</f>
        <v>0</v>
      </c>
      <c r="S123" s="42" t="n">
        <f aca="false">ROUND(AC123-I123,2)</f>
        <v>0</v>
      </c>
      <c r="T123" s="42" t="n">
        <f aca="false">ROUND(AD123-J123,2)</f>
        <v>0</v>
      </c>
      <c r="U123" s="42" t="n">
        <f aca="false">ROUND(AE123-K123,2)</f>
        <v>0</v>
      </c>
      <c r="V123" s="42" t="n">
        <f aca="false">ROUND(AF123-L123,2)</f>
        <v>0</v>
      </c>
      <c r="W123" s="42" t="n">
        <f aca="false">ROUND(AG123-M123,2)</f>
        <v>0</v>
      </c>
      <c r="X123" s="42" t="n">
        <f aca="false">ROUND(AH123-N123,2)</f>
        <v>0</v>
      </c>
      <c r="Y123" s="42" t="n">
        <f aca="false">ROUND(AI123-O123,2)</f>
        <v>0</v>
      </c>
      <c r="Z123" s="56" t="n">
        <f aca="false">ROUND(P122*(1+N(Debts!$D$5)/12),2)</f>
        <v>0</v>
      </c>
      <c r="AA123" s="56" t="n">
        <f aca="false">ROUND(Q122*(1+N(Debts!$D$6)/12),2)</f>
        <v>0</v>
      </c>
      <c r="AB123" s="56" t="n">
        <f aca="false">ROUND(R122*(1+N(Debts!$D$7)/12),2)</f>
        <v>0</v>
      </c>
      <c r="AC123" s="56" t="n">
        <f aca="false">ROUND(S122*(1+N(Debts!$D$8)/12),2)</f>
        <v>0</v>
      </c>
      <c r="AD123" s="56" t="n">
        <f aca="false">ROUND(T122*(1+N(Debts!$D$9)/12),2)</f>
        <v>0</v>
      </c>
      <c r="AE123" s="56" t="n">
        <f aca="false">ROUND(U122*(1+N(Debts!$D$10)/12),2)</f>
        <v>0</v>
      </c>
      <c r="AF123" s="56" t="n">
        <f aca="false">ROUND(V122*(1+N(Debts!$D$11)/12),2)</f>
        <v>0</v>
      </c>
      <c r="AG123" s="56" t="n">
        <f aca="false">ROUND(W122*(1+N(Debts!$D$12)/12),2)</f>
        <v>0</v>
      </c>
      <c r="AH123" s="56" t="n">
        <f aca="false">ROUND(X122*(1+N(Debts!$D$13)/12),2)</f>
        <v>0</v>
      </c>
      <c r="AI123" s="56" t="n">
        <f aca="false">ROUND(Y122*(1+N(Debts!$D$14)/12),2)</f>
        <v>0</v>
      </c>
      <c r="AJ123" s="56" t="n">
        <f aca="false">MIN(Z123,MAX(0,N(Debts!$E$5)))</f>
        <v>0</v>
      </c>
      <c r="AK123" s="56" t="n">
        <f aca="false">MIN(AA123,MAX(0,N(Debts!$E$6)))</f>
        <v>0</v>
      </c>
      <c r="AL123" s="56" t="n">
        <f aca="false">MIN(AB123,MAX(0,N(Debts!$E$7)))</f>
        <v>0</v>
      </c>
      <c r="AM123" s="56" t="n">
        <f aca="false">MIN(AC123,MAX(0,N(Debts!$E$8)))</f>
        <v>0</v>
      </c>
      <c r="AN123" s="56" t="n">
        <f aca="false">MIN(AD123,MAX(0,N(Debts!$E$9)))</f>
        <v>0</v>
      </c>
      <c r="AO123" s="56" t="n">
        <f aca="false">MIN(AE123,MAX(0,N(Debts!$E$10)))</f>
        <v>0</v>
      </c>
      <c r="AP123" s="56" t="n">
        <f aca="false">MIN(AF123,MAX(0,N(Debts!$E$11)))</f>
        <v>0</v>
      </c>
      <c r="AQ123" s="56" t="n">
        <f aca="false">MIN(AG123,MAX(0,N(Debts!$E$12)))</f>
        <v>0</v>
      </c>
      <c r="AR123" s="56" t="n">
        <f aca="false">MIN(AH123,MAX(0,N(Debts!$E$13)))</f>
        <v>0</v>
      </c>
      <c r="AS123" s="56" t="n">
        <f aca="false">MIN(AI123,MAX(0,N(Debts!$E$14)))</f>
        <v>0</v>
      </c>
    </row>
    <row r="124" customFormat="false" ht="15" hidden="false" customHeight="false" outlineLevel="0" collapsed="false">
      <c r="A124" s="53" t="n">
        <v>120</v>
      </c>
      <c r="B124" s="54" t="n">
        <f aca="false">EDATE('Start Here'!$B$8,119)</f>
        <v>49949</v>
      </c>
      <c r="C124" s="42" t="n">
        <f aca="false">SUM(F124:O124)</f>
        <v>0</v>
      </c>
      <c r="D124" s="42" t="n">
        <f aca="false">ROUND(SUM($Z124:$AI124)-SUM(P123:Y123),2)</f>
        <v>0</v>
      </c>
      <c r="E124" s="55" t="n">
        <f aca="false">SUM(P124:Y124)</f>
        <v>0</v>
      </c>
      <c r="F124" s="42" t="n">
        <f aca="false">AJ124+MIN(Z124-AJ124,MAX(0,'Start Here'!$B$10-SUM($AJ124:$AS124)-SUMPRODUCT(($Z$3:$AI$3&lt;Z$3)*($Z124:$AI124-$AJ124:$AS124))))</f>
        <v>0</v>
      </c>
      <c r="G124" s="42" t="n">
        <f aca="false">AK124+MIN(AA124-AK124,MAX(0,'Start Here'!$B$10-SUM($AJ124:$AS124)-SUMPRODUCT(($Z$3:$AI$3&lt;AA$3)*($Z124:$AI124-$AJ124:$AS124))))</f>
        <v>0</v>
      </c>
      <c r="H124" s="42" t="n">
        <f aca="false">AL124+MIN(AB124-AL124,MAX(0,'Start Here'!$B$10-SUM($AJ124:$AS124)-SUMPRODUCT(($Z$3:$AI$3&lt;AB$3)*($Z124:$AI124-$AJ124:$AS124))))</f>
        <v>0</v>
      </c>
      <c r="I124" s="42" t="n">
        <f aca="false">AM124+MIN(AC124-AM124,MAX(0,'Start Here'!$B$10-SUM($AJ124:$AS124)-SUMPRODUCT(($Z$3:$AI$3&lt;AC$3)*($Z124:$AI124-$AJ124:$AS124))))</f>
        <v>0</v>
      </c>
      <c r="J124" s="42" t="n">
        <f aca="false">AN124+MIN(AD124-AN124,MAX(0,'Start Here'!$B$10-SUM($AJ124:$AS124)-SUMPRODUCT(($Z$3:$AI$3&lt;AD$3)*($Z124:$AI124-$AJ124:$AS124))))</f>
        <v>0</v>
      </c>
      <c r="K124" s="42" t="n">
        <f aca="false">AO124+MIN(AE124-AO124,MAX(0,'Start Here'!$B$10-SUM($AJ124:$AS124)-SUMPRODUCT(($Z$3:$AI$3&lt;AE$3)*($Z124:$AI124-$AJ124:$AS124))))</f>
        <v>0</v>
      </c>
      <c r="L124" s="42" t="n">
        <f aca="false">AP124+MIN(AF124-AP124,MAX(0,'Start Here'!$B$10-SUM($AJ124:$AS124)-SUMPRODUCT(($Z$3:$AI$3&lt;AF$3)*($Z124:$AI124-$AJ124:$AS124))))</f>
        <v>0</v>
      </c>
      <c r="M124" s="42" t="n">
        <f aca="false">AQ124+MIN(AG124-AQ124,MAX(0,'Start Here'!$B$10-SUM($AJ124:$AS124)-SUMPRODUCT(($Z$3:$AI$3&lt;AG$3)*($Z124:$AI124-$AJ124:$AS124))))</f>
        <v>0</v>
      </c>
      <c r="N124" s="42" t="n">
        <f aca="false">AR124+MIN(AH124-AR124,MAX(0,'Start Here'!$B$10-SUM($AJ124:$AS124)-SUMPRODUCT(($Z$3:$AI$3&lt;AH$3)*($Z124:$AI124-$AJ124:$AS124))))</f>
        <v>0</v>
      </c>
      <c r="O124" s="42" t="n">
        <f aca="false">AS124+MIN(AI124-AS124,MAX(0,'Start Here'!$B$10-SUM($AJ124:$AS124)-SUMPRODUCT(($Z$3:$AI$3&lt;AI$3)*($Z124:$AI124-$AJ124:$AS124))))</f>
        <v>0</v>
      </c>
      <c r="P124" s="42" t="n">
        <f aca="false">ROUND(Z124-F124,2)</f>
        <v>0</v>
      </c>
      <c r="Q124" s="42" t="n">
        <f aca="false">ROUND(AA124-G124,2)</f>
        <v>0</v>
      </c>
      <c r="R124" s="42" t="n">
        <f aca="false">ROUND(AB124-H124,2)</f>
        <v>0</v>
      </c>
      <c r="S124" s="42" t="n">
        <f aca="false">ROUND(AC124-I124,2)</f>
        <v>0</v>
      </c>
      <c r="T124" s="42" t="n">
        <f aca="false">ROUND(AD124-J124,2)</f>
        <v>0</v>
      </c>
      <c r="U124" s="42" t="n">
        <f aca="false">ROUND(AE124-K124,2)</f>
        <v>0</v>
      </c>
      <c r="V124" s="42" t="n">
        <f aca="false">ROUND(AF124-L124,2)</f>
        <v>0</v>
      </c>
      <c r="W124" s="42" t="n">
        <f aca="false">ROUND(AG124-M124,2)</f>
        <v>0</v>
      </c>
      <c r="X124" s="42" t="n">
        <f aca="false">ROUND(AH124-N124,2)</f>
        <v>0</v>
      </c>
      <c r="Y124" s="42" t="n">
        <f aca="false">ROUND(AI124-O124,2)</f>
        <v>0</v>
      </c>
      <c r="Z124" s="56" t="n">
        <f aca="false">ROUND(P123*(1+N(Debts!$D$5)/12),2)</f>
        <v>0</v>
      </c>
      <c r="AA124" s="56" t="n">
        <f aca="false">ROUND(Q123*(1+N(Debts!$D$6)/12),2)</f>
        <v>0</v>
      </c>
      <c r="AB124" s="56" t="n">
        <f aca="false">ROUND(R123*(1+N(Debts!$D$7)/12),2)</f>
        <v>0</v>
      </c>
      <c r="AC124" s="56" t="n">
        <f aca="false">ROUND(S123*(1+N(Debts!$D$8)/12),2)</f>
        <v>0</v>
      </c>
      <c r="AD124" s="56" t="n">
        <f aca="false">ROUND(T123*(1+N(Debts!$D$9)/12),2)</f>
        <v>0</v>
      </c>
      <c r="AE124" s="56" t="n">
        <f aca="false">ROUND(U123*(1+N(Debts!$D$10)/12),2)</f>
        <v>0</v>
      </c>
      <c r="AF124" s="56" t="n">
        <f aca="false">ROUND(V123*(1+N(Debts!$D$11)/12),2)</f>
        <v>0</v>
      </c>
      <c r="AG124" s="56" t="n">
        <f aca="false">ROUND(W123*(1+N(Debts!$D$12)/12),2)</f>
        <v>0</v>
      </c>
      <c r="AH124" s="56" t="n">
        <f aca="false">ROUND(X123*(1+N(Debts!$D$13)/12),2)</f>
        <v>0</v>
      </c>
      <c r="AI124" s="56" t="n">
        <f aca="false">ROUND(Y123*(1+N(Debts!$D$14)/12),2)</f>
        <v>0</v>
      </c>
      <c r="AJ124" s="56" t="n">
        <f aca="false">MIN(Z124,MAX(0,N(Debts!$E$5)))</f>
        <v>0</v>
      </c>
      <c r="AK124" s="56" t="n">
        <f aca="false">MIN(AA124,MAX(0,N(Debts!$E$6)))</f>
        <v>0</v>
      </c>
      <c r="AL124" s="56" t="n">
        <f aca="false">MIN(AB124,MAX(0,N(Debts!$E$7)))</f>
        <v>0</v>
      </c>
      <c r="AM124" s="56" t="n">
        <f aca="false">MIN(AC124,MAX(0,N(Debts!$E$8)))</f>
        <v>0</v>
      </c>
      <c r="AN124" s="56" t="n">
        <f aca="false">MIN(AD124,MAX(0,N(Debts!$E$9)))</f>
        <v>0</v>
      </c>
      <c r="AO124" s="56" t="n">
        <f aca="false">MIN(AE124,MAX(0,N(Debts!$E$10)))</f>
        <v>0</v>
      </c>
      <c r="AP124" s="56" t="n">
        <f aca="false">MIN(AF124,MAX(0,N(Debts!$E$11)))</f>
        <v>0</v>
      </c>
      <c r="AQ124" s="56" t="n">
        <f aca="false">MIN(AG124,MAX(0,N(Debts!$E$12)))</f>
        <v>0</v>
      </c>
      <c r="AR124" s="56" t="n">
        <f aca="false">MIN(AH124,MAX(0,N(Debts!$E$13)))</f>
        <v>0</v>
      </c>
      <c r="AS124" s="56" t="n">
        <f aca="false">MIN(AI124,MAX(0,N(Debts!$E$14)))</f>
        <v>0</v>
      </c>
    </row>
    <row r="125" customFormat="false" ht="15" hidden="false" customHeight="false" outlineLevel="0" collapsed="false">
      <c r="A125" s="53" t="n">
        <v>121</v>
      </c>
      <c r="B125" s="54" t="n">
        <f aca="false">EDATE('Start Here'!$B$8,120)</f>
        <v>49980</v>
      </c>
      <c r="C125" s="42" t="n">
        <f aca="false">SUM(F125:O125)</f>
        <v>0</v>
      </c>
      <c r="D125" s="42" t="n">
        <f aca="false">ROUND(SUM($Z125:$AI125)-SUM(P124:Y124),2)</f>
        <v>0</v>
      </c>
      <c r="E125" s="55" t="n">
        <f aca="false">SUM(P125:Y125)</f>
        <v>0</v>
      </c>
      <c r="F125" s="42" t="n">
        <f aca="false">AJ125+MIN(Z125-AJ125,MAX(0,'Start Here'!$B$10-SUM($AJ125:$AS125)-SUMPRODUCT(($Z$3:$AI$3&lt;Z$3)*($Z125:$AI125-$AJ125:$AS125))))</f>
        <v>0</v>
      </c>
      <c r="G125" s="42" t="n">
        <f aca="false">AK125+MIN(AA125-AK125,MAX(0,'Start Here'!$B$10-SUM($AJ125:$AS125)-SUMPRODUCT(($Z$3:$AI$3&lt;AA$3)*($Z125:$AI125-$AJ125:$AS125))))</f>
        <v>0</v>
      </c>
      <c r="H125" s="42" t="n">
        <f aca="false">AL125+MIN(AB125-AL125,MAX(0,'Start Here'!$B$10-SUM($AJ125:$AS125)-SUMPRODUCT(($Z$3:$AI$3&lt;AB$3)*($Z125:$AI125-$AJ125:$AS125))))</f>
        <v>0</v>
      </c>
      <c r="I125" s="42" t="n">
        <f aca="false">AM125+MIN(AC125-AM125,MAX(0,'Start Here'!$B$10-SUM($AJ125:$AS125)-SUMPRODUCT(($Z$3:$AI$3&lt;AC$3)*($Z125:$AI125-$AJ125:$AS125))))</f>
        <v>0</v>
      </c>
      <c r="J125" s="42" t="n">
        <f aca="false">AN125+MIN(AD125-AN125,MAX(0,'Start Here'!$B$10-SUM($AJ125:$AS125)-SUMPRODUCT(($Z$3:$AI$3&lt;AD$3)*($Z125:$AI125-$AJ125:$AS125))))</f>
        <v>0</v>
      </c>
      <c r="K125" s="42" t="n">
        <f aca="false">AO125+MIN(AE125-AO125,MAX(0,'Start Here'!$B$10-SUM($AJ125:$AS125)-SUMPRODUCT(($Z$3:$AI$3&lt;AE$3)*($Z125:$AI125-$AJ125:$AS125))))</f>
        <v>0</v>
      </c>
      <c r="L125" s="42" t="n">
        <f aca="false">AP125+MIN(AF125-AP125,MAX(0,'Start Here'!$B$10-SUM($AJ125:$AS125)-SUMPRODUCT(($Z$3:$AI$3&lt;AF$3)*($Z125:$AI125-$AJ125:$AS125))))</f>
        <v>0</v>
      </c>
      <c r="M125" s="42" t="n">
        <f aca="false">AQ125+MIN(AG125-AQ125,MAX(0,'Start Here'!$B$10-SUM($AJ125:$AS125)-SUMPRODUCT(($Z$3:$AI$3&lt;AG$3)*($Z125:$AI125-$AJ125:$AS125))))</f>
        <v>0</v>
      </c>
      <c r="N125" s="42" t="n">
        <f aca="false">AR125+MIN(AH125-AR125,MAX(0,'Start Here'!$B$10-SUM($AJ125:$AS125)-SUMPRODUCT(($Z$3:$AI$3&lt;AH$3)*($Z125:$AI125-$AJ125:$AS125))))</f>
        <v>0</v>
      </c>
      <c r="O125" s="42" t="n">
        <f aca="false">AS125+MIN(AI125-AS125,MAX(0,'Start Here'!$B$10-SUM($AJ125:$AS125)-SUMPRODUCT(($Z$3:$AI$3&lt;AI$3)*($Z125:$AI125-$AJ125:$AS125))))</f>
        <v>0</v>
      </c>
      <c r="P125" s="42" t="n">
        <f aca="false">ROUND(Z125-F125,2)</f>
        <v>0</v>
      </c>
      <c r="Q125" s="42" t="n">
        <f aca="false">ROUND(AA125-G125,2)</f>
        <v>0</v>
      </c>
      <c r="R125" s="42" t="n">
        <f aca="false">ROUND(AB125-H125,2)</f>
        <v>0</v>
      </c>
      <c r="S125" s="42" t="n">
        <f aca="false">ROUND(AC125-I125,2)</f>
        <v>0</v>
      </c>
      <c r="T125" s="42" t="n">
        <f aca="false">ROUND(AD125-J125,2)</f>
        <v>0</v>
      </c>
      <c r="U125" s="42" t="n">
        <f aca="false">ROUND(AE125-K125,2)</f>
        <v>0</v>
      </c>
      <c r="V125" s="42" t="n">
        <f aca="false">ROUND(AF125-L125,2)</f>
        <v>0</v>
      </c>
      <c r="W125" s="42" t="n">
        <f aca="false">ROUND(AG125-M125,2)</f>
        <v>0</v>
      </c>
      <c r="X125" s="42" t="n">
        <f aca="false">ROUND(AH125-N125,2)</f>
        <v>0</v>
      </c>
      <c r="Y125" s="42" t="n">
        <f aca="false">ROUND(AI125-O125,2)</f>
        <v>0</v>
      </c>
      <c r="Z125" s="56" t="n">
        <f aca="false">ROUND(P124*(1+N(Debts!$D$5)/12),2)</f>
        <v>0</v>
      </c>
      <c r="AA125" s="56" t="n">
        <f aca="false">ROUND(Q124*(1+N(Debts!$D$6)/12),2)</f>
        <v>0</v>
      </c>
      <c r="AB125" s="56" t="n">
        <f aca="false">ROUND(R124*(1+N(Debts!$D$7)/12),2)</f>
        <v>0</v>
      </c>
      <c r="AC125" s="56" t="n">
        <f aca="false">ROUND(S124*(1+N(Debts!$D$8)/12),2)</f>
        <v>0</v>
      </c>
      <c r="AD125" s="56" t="n">
        <f aca="false">ROUND(T124*(1+N(Debts!$D$9)/12),2)</f>
        <v>0</v>
      </c>
      <c r="AE125" s="56" t="n">
        <f aca="false">ROUND(U124*(1+N(Debts!$D$10)/12),2)</f>
        <v>0</v>
      </c>
      <c r="AF125" s="56" t="n">
        <f aca="false">ROUND(V124*(1+N(Debts!$D$11)/12),2)</f>
        <v>0</v>
      </c>
      <c r="AG125" s="56" t="n">
        <f aca="false">ROUND(W124*(1+N(Debts!$D$12)/12),2)</f>
        <v>0</v>
      </c>
      <c r="AH125" s="56" t="n">
        <f aca="false">ROUND(X124*(1+N(Debts!$D$13)/12),2)</f>
        <v>0</v>
      </c>
      <c r="AI125" s="56" t="n">
        <f aca="false">ROUND(Y124*(1+N(Debts!$D$14)/12),2)</f>
        <v>0</v>
      </c>
      <c r="AJ125" s="56" t="n">
        <f aca="false">MIN(Z125,MAX(0,N(Debts!$E$5)))</f>
        <v>0</v>
      </c>
      <c r="AK125" s="56" t="n">
        <f aca="false">MIN(AA125,MAX(0,N(Debts!$E$6)))</f>
        <v>0</v>
      </c>
      <c r="AL125" s="56" t="n">
        <f aca="false">MIN(AB125,MAX(0,N(Debts!$E$7)))</f>
        <v>0</v>
      </c>
      <c r="AM125" s="56" t="n">
        <f aca="false">MIN(AC125,MAX(0,N(Debts!$E$8)))</f>
        <v>0</v>
      </c>
      <c r="AN125" s="56" t="n">
        <f aca="false">MIN(AD125,MAX(0,N(Debts!$E$9)))</f>
        <v>0</v>
      </c>
      <c r="AO125" s="56" t="n">
        <f aca="false">MIN(AE125,MAX(0,N(Debts!$E$10)))</f>
        <v>0</v>
      </c>
      <c r="AP125" s="56" t="n">
        <f aca="false">MIN(AF125,MAX(0,N(Debts!$E$11)))</f>
        <v>0</v>
      </c>
      <c r="AQ125" s="56" t="n">
        <f aca="false">MIN(AG125,MAX(0,N(Debts!$E$12)))</f>
        <v>0</v>
      </c>
      <c r="AR125" s="56" t="n">
        <f aca="false">MIN(AH125,MAX(0,N(Debts!$E$13)))</f>
        <v>0</v>
      </c>
      <c r="AS125" s="56" t="n">
        <f aca="false">MIN(AI125,MAX(0,N(Debts!$E$14)))</f>
        <v>0</v>
      </c>
    </row>
    <row r="126" customFormat="false" ht="15" hidden="false" customHeight="false" outlineLevel="0" collapsed="false">
      <c r="A126" s="53" t="n">
        <v>122</v>
      </c>
      <c r="B126" s="54" t="n">
        <f aca="false">EDATE('Start Here'!$B$8,121)</f>
        <v>50010</v>
      </c>
      <c r="C126" s="42" t="n">
        <f aca="false">SUM(F126:O126)</f>
        <v>0</v>
      </c>
      <c r="D126" s="42" t="n">
        <f aca="false">ROUND(SUM($Z126:$AI126)-SUM(P125:Y125),2)</f>
        <v>0</v>
      </c>
      <c r="E126" s="55" t="n">
        <f aca="false">SUM(P126:Y126)</f>
        <v>0</v>
      </c>
      <c r="F126" s="42" t="n">
        <f aca="false">AJ126+MIN(Z126-AJ126,MAX(0,'Start Here'!$B$10-SUM($AJ126:$AS126)-SUMPRODUCT(($Z$3:$AI$3&lt;Z$3)*($Z126:$AI126-$AJ126:$AS126))))</f>
        <v>0</v>
      </c>
      <c r="G126" s="42" t="n">
        <f aca="false">AK126+MIN(AA126-AK126,MAX(0,'Start Here'!$B$10-SUM($AJ126:$AS126)-SUMPRODUCT(($Z$3:$AI$3&lt;AA$3)*($Z126:$AI126-$AJ126:$AS126))))</f>
        <v>0</v>
      </c>
      <c r="H126" s="42" t="n">
        <f aca="false">AL126+MIN(AB126-AL126,MAX(0,'Start Here'!$B$10-SUM($AJ126:$AS126)-SUMPRODUCT(($Z$3:$AI$3&lt;AB$3)*($Z126:$AI126-$AJ126:$AS126))))</f>
        <v>0</v>
      </c>
      <c r="I126" s="42" t="n">
        <f aca="false">AM126+MIN(AC126-AM126,MAX(0,'Start Here'!$B$10-SUM($AJ126:$AS126)-SUMPRODUCT(($Z$3:$AI$3&lt;AC$3)*($Z126:$AI126-$AJ126:$AS126))))</f>
        <v>0</v>
      </c>
      <c r="J126" s="42" t="n">
        <f aca="false">AN126+MIN(AD126-AN126,MAX(0,'Start Here'!$B$10-SUM($AJ126:$AS126)-SUMPRODUCT(($Z$3:$AI$3&lt;AD$3)*($Z126:$AI126-$AJ126:$AS126))))</f>
        <v>0</v>
      </c>
      <c r="K126" s="42" t="n">
        <f aca="false">AO126+MIN(AE126-AO126,MAX(0,'Start Here'!$B$10-SUM($AJ126:$AS126)-SUMPRODUCT(($Z$3:$AI$3&lt;AE$3)*($Z126:$AI126-$AJ126:$AS126))))</f>
        <v>0</v>
      </c>
      <c r="L126" s="42" t="n">
        <f aca="false">AP126+MIN(AF126-AP126,MAX(0,'Start Here'!$B$10-SUM($AJ126:$AS126)-SUMPRODUCT(($Z$3:$AI$3&lt;AF$3)*($Z126:$AI126-$AJ126:$AS126))))</f>
        <v>0</v>
      </c>
      <c r="M126" s="42" t="n">
        <f aca="false">AQ126+MIN(AG126-AQ126,MAX(0,'Start Here'!$B$10-SUM($AJ126:$AS126)-SUMPRODUCT(($Z$3:$AI$3&lt;AG$3)*($Z126:$AI126-$AJ126:$AS126))))</f>
        <v>0</v>
      </c>
      <c r="N126" s="42" t="n">
        <f aca="false">AR126+MIN(AH126-AR126,MAX(0,'Start Here'!$B$10-SUM($AJ126:$AS126)-SUMPRODUCT(($Z$3:$AI$3&lt;AH$3)*($Z126:$AI126-$AJ126:$AS126))))</f>
        <v>0</v>
      </c>
      <c r="O126" s="42" t="n">
        <f aca="false">AS126+MIN(AI126-AS126,MAX(0,'Start Here'!$B$10-SUM($AJ126:$AS126)-SUMPRODUCT(($Z$3:$AI$3&lt;AI$3)*($Z126:$AI126-$AJ126:$AS126))))</f>
        <v>0</v>
      </c>
      <c r="P126" s="42" t="n">
        <f aca="false">ROUND(Z126-F126,2)</f>
        <v>0</v>
      </c>
      <c r="Q126" s="42" t="n">
        <f aca="false">ROUND(AA126-G126,2)</f>
        <v>0</v>
      </c>
      <c r="R126" s="42" t="n">
        <f aca="false">ROUND(AB126-H126,2)</f>
        <v>0</v>
      </c>
      <c r="S126" s="42" t="n">
        <f aca="false">ROUND(AC126-I126,2)</f>
        <v>0</v>
      </c>
      <c r="T126" s="42" t="n">
        <f aca="false">ROUND(AD126-J126,2)</f>
        <v>0</v>
      </c>
      <c r="U126" s="42" t="n">
        <f aca="false">ROUND(AE126-K126,2)</f>
        <v>0</v>
      </c>
      <c r="V126" s="42" t="n">
        <f aca="false">ROUND(AF126-L126,2)</f>
        <v>0</v>
      </c>
      <c r="W126" s="42" t="n">
        <f aca="false">ROUND(AG126-M126,2)</f>
        <v>0</v>
      </c>
      <c r="X126" s="42" t="n">
        <f aca="false">ROUND(AH126-N126,2)</f>
        <v>0</v>
      </c>
      <c r="Y126" s="42" t="n">
        <f aca="false">ROUND(AI126-O126,2)</f>
        <v>0</v>
      </c>
      <c r="Z126" s="56" t="n">
        <f aca="false">ROUND(P125*(1+N(Debts!$D$5)/12),2)</f>
        <v>0</v>
      </c>
      <c r="AA126" s="56" t="n">
        <f aca="false">ROUND(Q125*(1+N(Debts!$D$6)/12),2)</f>
        <v>0</v>
      </c>
      <c r="AB126" s="56" t="n">
        <f aca="false">ROUND(R125*(1+N(Debts!$D$7)/12),2)</f>
        <v>0</v>
      </c>
      <c r="AC126" s="56" t="n">
        <f aca="false">ROUND(S125*(1+N(Debts!$D$8)/12),2)</f>
        <v>0</v>
      </c>
      <c r="AD126" s="56" t="n">
        <f aca="false">ROUND(T125*(1+N(Debts!$D$9)/12),2)</f>
        <v>0</v>
      </c>
      <c r="AE126" s="56" t="n">
        <f aca="false">ROUND(U125*(1+N(Debts!$D$10)/12),2)</f>
        <v>0</v>
      </c>
      <c r="AF126" s="56" t="n">
        <f aca="false">ROUND(V125*(1+N(Debts!$D$11)/12),2)</f>
        <v>0</v>
      </c>
      <c r="AG126" s="56" t="n">
        <f aca="false">ROUND(W125*(1+N(Debts!$D$12)/12),2)</f>
        <v>0</v>
      </c>
      <c r="AH126" s="56" t="n">
        <f aca="false">ROUND(X125*(1+N(Debts!$D$13)/12),2)</f>
        <v>0</v>
      </c>
      <c r="AI126" s="56" t="n">
        <f aca="false">ROUND(Y125*(1+N(Debts!$D$14)/12),2)</f>
        <v>0</v>
      </c>
      <c r="AJ126" s="56" t="n">
        <f aca="false">MIN(Z126,MAX(0,N(Debts!$E$5)))</f>
        <v>0</v>
      </c>
      <c r="AK126" s="56" t="n">
        <f aca="false">MIN(AA126,MAX(0,N(Debts!$E$6)))</f>
        <v>0</v>
      </c>
      <c r="AL126" s="56" t="n">
        <f aca="false">MIN(AB126,MAX(0,N(Debts!$E$7)))</f>
        <v>0</v>
      </c>
      <c r="AM126" s="56" t="n">
        <f aca="false">MIN(AC126,MAX(0,N(Debts!$E$8)))</f>
        <v>0</v>
      </c>
      <c r="AN126" s="56" t="n">
        <f aca="false">MIN(AD126,MAX(0,N(Debts!$E$9)))</f>
        <v>0</v>
      </c>
      <c r="AO126" s="56" t="n">
        <f aca="false">MIN(AE126,MAX(0,N(Debts!$E$10)))</f>
        <v>0</v>
      </c>
      <c r="AP126" s="56" t="n">
        <f aca="false">MIN(AF126,MAX(0,N(Debts!$E$11)))</f>
        <v>0</v>
      </c>
      <c r="AQ126" s="56" t="n">
        <f aca="false">MIN(AG126,MAX(0,N(Debts!$E$12)))</f>
        <v>0</v>
      </c>
      <c r="AR126" s="56" t="n">
        <f aca="false">MIN(AH126,MAX(0,N(Debts!$E$13)))</f>
        <v>0</v>
      </c>
      <c r="AS126" s="56" t="n">
        <f aca="false">MIN(AI126,MAX(0,N(Debts!$E$14)))</f>
        <v>0</v>
      </c>
    </row>
    <row r="127" customFormat="false" ht="15" hidden="false" customHeight="false" outlineLevel="0" collapsed="false">
      <c r="A127" s="53" t="n">
        <v>123</v>
      </c>
      <c r="B127" s="54" t="n">
        <f aca="false">EDATE('Start Here'!$B$8,122)</f>
        <v>50041</v>
      </c>
      <c r="C127" s="42" t="n">
        <f aca="false">SUM(F127:O127)</f>
        <v>0</v>
      </c>
      <c r="D127" s="42" t="n">
        <f aca="false">ROUND(SUM($Z127:$AI127)-SUM(P126:Y126),2)</f>
        <v>0</v>
      </c>
      <c r="E127" s="55" t="n">
        <f aca="false">SUM(P127:Y127)</f>
        <v>0</v>
      </c>
      <c r="F127" s="42" t="n">
        <f aca="false">AJ127+MIN(Z127-AJ127,MAX(0,'Start Here'!$B$10-SUM($AJ127:$AS127)-SUMPRODUCT(($Z$3:$AI$3&lt;Z$3)*($Z127:$AI127-$AJ127:$AS127))))</f>
        <v>0</v>
      </c>
      <c r="G127" s="42" t="n">
        <f aca="false">AK127+MIN(AA127-AK127,MAX(0,'Start Here'!$B$10-SUM($AJ127:$AS127)-SUMPRODUCT(($Z$3:$AI$3&lt;AA$3)*($Z127:$AI127-$AJ127:$AS127))))</f>
        <v>0</v>
      </c>
      <c r="H127" s="42" t="n">
        <f aca="false">AL127+MIN(AB127-AL127,MAX(0,'Start Here'!$B$10-SUM($AJ127:$AS127)-SUMPRODUCT(($Z$3:$AI$3&lt;AB$3)*($Z127:$AI127-$AJ127:$AS127))))</f>
        <v>0</v>
      </c>
      <c r="I127" s="42" t="n">
        <f aca="false">AM127+MIN(AC127-AM127,MAX(0,'Start Here'!$B$10-SUM($AJ127:$AS127)-SUMPRODUCT(($Z$3:$AI$3&lt;AC$3)*($Z127:$AI127-$AJ127:$AS127))))</f>
        <v>0</v>
      </c>
      <c r="J127" s="42" t="n">
        <f aca="false">AN127+MIN(AD127-AN127,MAX(0,'Start Here'!$B$10-SUM($AJ127:$AS127)-SUMPRODUCT(($Z$3:$AI$3&lt;AD$3)*($Z127:$AI127-$AJ127:$AS127))))</f>
        <v>0</v>
      </c>
      <c r="K127" s="42" t="n">
        <f aca="false">AO127+MIN(AE127-AO127,MAX(0,'Start Here'!$B$10-SUM($AJ127:$AS127)-SUMPRODUCT(($Z$3:$AI$3&lt;AE$3)*($Z127:$AI127-$AJ127:$AS127))))</f>
        <v>0</v>
      </c>
      <c r="L127" s="42" t="n">
        <f aca="false">AP127+MIN(AF127-AP127,MAX(0,'Start Here'!$B$10-SUM($AJ127:$AS127)-SUMPRODUCT(($Z$3:$AI$3&lt;AF$3)*($Z127:$AI127-$AJ127:$AS127))))</f>
        <v>0</v>
      </c>
      <c r="M127" s="42" t="n">
        <f aca="false">AQ127+MIN(AG127-AQ127,MAX(0,'Start Here'!$B$10-SUM($AJ127:$AS127)-SUMPRODUCT(($Z$3:$AI$3&lt;AG$3)*($Z127:$AI127-$AJ127:$AS127))))</f>
        <v>0</v>
      </c>
      <c r="N127" s="42" t="n">
        <f aca="false">AR127+MIN(AH127-AR127,MAX(0,'Start Here'!$B$10-SUM($AJ127:$AS127)-SUMPRODUCT(($Z$3:$AI$3&lt;AH$3)*($Z127:$AI127-$AJ127:$AS127))))</f>
        <v>0</v>
      </c>
      <c r="O127" s="42" t="n">
        <f aca="false">AS127+MIN(AI127-AS127,MAX(0,'Start Here'!$B$10-SUM($AJ127:$AS127)-SUMPRODUCT(($Z$3:$AI$3&lt;AI$3)*($Z127:$AI127-$AJ127:$AS127))))</f>
        <v>0</v>
      </c>
      <c r="P127" s="42" t="n">
        <f aca="false">ROUND(Z127-F127,2)</f>
        <v>0</v>
      </c>
      <c r="Q127" s="42" t="n">
        <f aca="false">ROUND(AA127-G127,2)</f>
        <v>0</v>
      </c>
      <c r="R127" s="42" t="n">
        <f aca="false">ROUND(AB127-H127,2)</f>
        <v>0</v>
      </c>
      <c r="S127" s="42" t="n">
        <f aca="false">ROUND(AC127-I127,2)</f>
        <v>0</v>
      </c>
      <c r="T127" s="42" t="n">
        <f aca="false">ROUND(AD127-J127,2)</f>
        <v>0</v>
      </c>
      <c r="U127" s="42" t="n">
        <f aca="false">ROUND(AE127-K127,2)</f>
        <v>0</v>
      </c>
      <c r="V127" s="42" t="n">
        <f aca="false">ROUND(AF127-L127,2)</f>
        <v>0</v>
      </c>
      <c r="W127" s="42" t="n">
        <f aca="false">ROUND(AG127-M127,2)</f>
        <v>0</v>
      </c>
      <c r="X127" s="42" t="n">
        <f aca="false">ROUND(AH127-N127,2)</f>
        <v>0</v>
      </c>
      <c r="Y127" s="42" t="n">
        <f aca="false">ROUND(AI127-O127,2)</f>
        <v>0</v>
      </c>
      <c r="Z127" s="56" t="n">
        <f aca="false">ROUND(P126*(1+N(Debts!$D$5)/12),2)</f>
        <v>0</v>
      </c>
      <c r="AA127" s="56" t="n">
        <f aca="false">ROUND(Q126*(1+N(Debts!$D$6)/12),2)</f>
        <v>0</v>
      </c>
      <c r="AB127" s="56" t="n">
        <f aca="false">ROUND(R126*(1+N(Debts!$D$7)/12),2)</f>
        <v>0</v>
      </c>
      <c r="AC127" s="56" t="n">
        <f aca="false">ROUND(S126*(1+N(Debts!$D$8)/12),2)</f>
        <v>0</v>
      </c>
      <c r="AD127" s="56" t="n">
        <f aca="false">ROUND(T126*(1+N(Debts!$D$9)/12),2)</f>
        <v>0</v>
      </c>
      <c r="AE127" s="56" t="n">
        <f aca="false">ROUND(U126*(1+N(Debts!$D$10)/12),2)</f>
        <v>0</v>
      </c>
      <c r="AF127" s="56" t="n">
        <f aca="false">ROUND(V126*(1+N(Debts!$D$11)/12),2)</f>
        <v>0</v>
      </c>
      <c r="AG127" s="56" t="n">
        <f aca="false">ROUND(W126*(1+N(Debts!$D$12)/12),2)</f>
        <v>0</v>
      </c>
      <c r="AH127" s="56" t="n">
        <f aca="false">ROUND(X126*(1+N(Debts!$D$13)/12),2)</f>
        <v>0</v>
      </c>
      <c r="AI127" s="56" t="n">
        <f aca="false">ROUND(Y126*(1+N(Debts!$D$14)/12),2)</f>
        <v>0</v>
      </c>
      <c r="AJ127" s="56" t="n">
        <f aca="false">MIN(Z127,MAX(0,N(Debts!$E$5)))</f>
        <v>0</v>
      </c>
      <c r="AK127" s="56" t="n">
        <f aca="false">MIN(AA127,MAX(0,N(Debts!$E$6)))</f>
        <v>0</v>
      </c>
      <c r="AL127" s="56" t="n">
        <f aca="false">MIN(AB127,MAX(0,N(Debts!$E$7)))</f>
        <v>0</v>
      </c>
      <c r="AM127" s="56" t="n">
        <f aca="false">MIN(AC127,MAX(0,N(Debts!$E$8)))</f>
        <v>0</v>
      </c>
      <c r="AN127" s="56" t="n">
        <f aca="false">MIN(AD127,MAX(0,N(Debts!$E$9)))</f>
        <v>0</v>
      </c>
      <c r="AO127" s="56" t="n">
        <f aca="false">MIN(AE127,MAX(0,N(Debts!$E$10)))</f>
        <v>0</v>
      </c>
      <c r="AP127" s="56" t="n">
        <f aca="false">MIN(AF127,MAX(0,N(Debts!$E$11)))</f>
        <v>0</v>
      </c>
      <c r="AQ127" s="56" t="n">
        <f aca="false">MIN(AG127,MAX(0,N(Debts!$E$12)))</f>
        <v>0</v>
      </c>
      <c r="AR127" s="56" t="n">
        <f aca="false">MIN(AH127,MAX(0,N(Debts!$E$13)))</f>
        <v>0</v>
      </c>
      <c r="AS127" s="56" t="n">
        <f aca="false">MIN(AI127,MAX(0,N(Debts!$E$14)))</f>
        <v>0</v>
      </c>
    </row>
    <row r="128" customFormat="false" ht="15" hidden="false" customHeight="false" outlineLevel="0" collapsed="false">
      <c r="A128" s="53" t="n">
        <v>124</v>
      </c>
      <c r="B128" s="54" t="n">
        <f aca="false">EDATE('Start Here'!$B$8,123)</f>
        <v>50072</v>
      </c>
      <c r="C128" s="42" t="n">
        <f aca="false">SUM(F128:O128)</f>
        <v>0</v>
      </c>
      <c r="D128" s="42" t="n">
        <f aca="false">ROUND(SUM($Z128:$AI128)-SUM(P127:Y127),2)</f>
        <v>0</v>
      </c>
      <c r="E128" s="55" t="n">
        <f aca="false">SUM(P128:Y128)</f>
        <v>0</v>
      </c>
      <c r="F128" s="42" t="n">
        <f aca="false">AJ128+MIN(Z128-AJ128,MAX(0,'Start Here'!$B$10-SUM($AJ128:$AS128)-SUMPRODUCT(($Z$3:$AI$3&lt;Z$3)*($Z128:$AI128-$AJ128:$AS128))))</f>
        <v>0</v>
      </c>
      <c r="G128" s="42" t="n">
        <f aca="false">AK128+MIN(AA128-AK128,MAX(0,'Start Here'!$B$10-SUM($AJ128:$AS128)-SUMPRODUCT(($Z$3:$AI$3&lt;AA$3)*($Z128:$AI128-$AJ128:$AS128))))</f>
        <v>0</v>
      </c>
      <c r="H128" s="42" t="n">
        <f aca="false">AL128+MIN(AB128-AL128,MAX(0,'Start Here'!$B$10-SUM($AJ128:$AS128)-SUMPRODUCT(($Z$3:$AI$3&lt;AB$3)*($Z128:$AI128-$AJ128:$AS128))))</f>
        <v>0</v>
      </c>
      <c r="I128" s="42" t="n">
        <f aca="false">AM128+MIN(AC128-AM128,MAX(0,'Start Here'!$B$10-SUM($AJ128:$AS128)-SUMPRODUCT(($Z$3:$AI$3&lt;AC$3)*($Z128:$AI128-$AJ128:$AS128))))</f>
        <v>0</v>
      </c>
      <c r="J128" s="42" t="n">
        <f aca="false">AN128+MIN(AD128-AN128,MAX(0,'Start Here'!$B$10-SUM($AJ128:$AS128)-SUMPRODUCT(($Z$3:$AI$3&lt;AD$3)*($Z128:$AI128-$AJ128:$AS128))))</f>
        <v>0</v>
      </c>
      <c r="K128" s="42" t="n">
        <f aca="false">AO128+MIN(AE128-AO128,MAX(0,'Start Here'!$B$10-SUM($AJ128:$AS128)-SUMPRODUCT(($Z$3:$AI$3&lt;AE$3)*($Z128:$AI128-$AJ128:$AS128))))</f>
        <v>0</v>
      </c>
      <c r="L128" s="42" t="n">
        <f aca="false">AP128+MIN(AF128-AP128,MAX(0,'Start Here'!$B$10-SUM($AJ128:$AS128)-SUMPRODUCT(($Z$3:$AI$3&lt;AF$3)*($Z128:$AI128-$AJ128:$AS128))))</f>
        <v>0</v>
      </c>
      <c r="M128" s="42" t="n">
        <f aca="false">AQ128+MIN(AG128-AQ128,MAX(0,'Start Here'!$B$10-SUM($AJ128:$AS128)-SUMPRODUCT(($Z$3:$AI$3&lt;AG$3)*($Z128:$AI128-$AJ128:$AS128))))</f>
        <v>0</v>
      </c>
      <c r="N128" s="42" t="n">
        <f aca="false">AR128+MIN(AH128-AR128,MAX(0,'Start Here'!$B$10-SUM($AJ128:$AS128)-SUMPRODUCT(($Z$3:$AI$3&lt;AH$3)*($Z128:$AI128-$AJ128:$AS128))))</f>
        <v>0</v>
      </c>
      <c r="O128" s="42" t="n">
        <f aca="false">AS128+MIN(AI128-AS128,MAX(0,'Start Here'!$B$10-SUM($AJ128:$AS128)-SUMPRODUCT(($Z$3:$AI$3&lt;AI$3)*($Z128:$AI128-$AJ128:$AS128))))</f>
        <v>0</v>
      </c>
      <c r="P128" s="42" t="n">
        <f aca="false">ROUND(Z128-F128,2)</f>
        <v>0</v>
      </c>
      <c r="Q128" s="42" t="n">
        <f aca="false">ROUND(AA128-G128,2)</f>
        <v>0</v>
      </c>
      <c r="R128" s="42" t="n">
        <f aca="false">ROUND(AB128-H128,2)</f>
        <v>0</v>
      </c>
      <c r="S128" s="42" t="n">
        <f aca="false">ROUND(AC128-I128,2)</f>
        <v>0</v>
      </c>
      <c r="T128" s="42" t="n">
        <f aca="false">ROUND(AD128-J128,2)</f>
        <v>0</v>
      </c>
      <c r="U128" s="42" t="n">
        <f aca="false">ROUND(AE128-K128,2)</f>
        <v>0</v>
      </c>
      <c r="V128" s="42" t="n">
        <f aca="false">ROUND(AF128-L128,2)</f>
        <v>0</v>
      </c>
      <c r="W128" s="42" t="n">
        <f aca="false">ROUND(AG128-M128,2)</f>
        <v>0</v>
      </c>
      <c r="X128" s="42" t="n">
        <f aca="false">ROUND(AH128-N128,2)</f>
        <v>0</v>
      </c>
      <c r="Y128" s="42" t="n">
        <f aca="false">ROUND(AI128-O128,2)</f>
        <v>0</v>
      </c>
      <c r="Z128" s="56" t="n">
        <f aca="false">ROUND(P127*(1+N(Debts!$D$5)/12),2)</f>
        <v>0</v>
      </c>
      <c r="AA128" s="56" t="n">
        <f aca="false">ROUND(Q127*(1+N(Debts!$D$6)/12),2)</f>
        <v>0</v>
      </c>
      <c r="AB128" s="56" t="n">
        <f aca="false">ROUND(R127*(1+N(Debts!$D$7)/12),2)</f>
        <v>0</v>
      </c>
      <c r="AC128" s="56" t="n">
        <f aca="false">ROUND(S127*(1+N(Debts!$D$8)/12),2)</f>
        <v>0</v>
      </c>
      <c r="AD128" s="56" t="n">
        <f aca="false">ROUND(T127*(1+N(Debts!$D$9)/12),2)</f>
        <v>0</v>
      </c>
      <c r="AE128" s="56" t="n">
        <f aca="false">ROUND(U127*(1+N(Debts!$D$10)/12),2)</f>
        <v>0</v>
      </c>
      <c r="AF128" s="56" t="n">
        <f aca="false">ROUND(V127*(1+N(Debts!$D$11)/12),2)</f>
        <v>0</v>
      </c>
      <c r="AG128" s="56" t="n">
        <f aca="false">ROUND(W127*(1+N(Debts!$D$12)/12),2)</f>
        <v>0</v>
      </c>
      <c r="AH128" s="56" t="n">
        <f aca="false">ROUND(X127*(1+N(Debts!$D$13)/12),2)</f>
        <v>0</v>
      </c>
      <c r="AI128" s="56" t="n">
        <f aca="false">ROUND(Y127*(1+N(Debts!$D$14)/12),2)</f>
        <v>0</v>
      </c>
      <c r="AJ128" s="56" t="n">
        <f aca="false">MIN(Z128,MAX(0,N(Debts!$E$5)))</f>
        <v>0</v>
      </c>
      <c r="AK128" s="56" t="n">
        <f aca="false">MIN(AA128,MAX(0,N(Debts!$E$6)))</f>
        <v>0</v>
      </c>
      <c r="AL128" s="56" t="n">
        <f aca="false">MIN(AB128,MAX(0,N(Debts!$E$7)))</f>
        <v>0</v>
      </c>
      <c r="AM128" s="56" t="n">
        <f aca="false">MIN(AC128,MAX(0,N(Debts!$E$8)))</f>
        <v>0</v>
      </c>
      <c r="AN128" s="56" t="n">
        <f aca="false">MIN(AD128,MAX(0,N(Debts!$E$9)))</f>
        <v>0</v>
      </c>
      <c r="AO128" s="56" t="n">
        <f aca="false">MIN(AE128,MAX(0,N(Debts!$E$10)))</f>
        <v>0</v>
      </c>
      <c r="AP128" s="56" t="n">
        <f aca="false">MIN(AF128,MAX(0,N(Debts!$E$11)))</f>
        <v>0</v>
      </c>
      <c r="AQ128" s="56" t="n">
        <f aca="false">MIN(AG128,MAX(0,N(Debts!$E$12)))</f>
        <v>0</v>
      </c>
      <c r="AR128" s="56" t="n">
        <f aca="false">MIN(AH128,MAX(0,N(Debts!$E$13)))</f>
        <v>0</v>
      </c>
      <c r="AS128" s="56" t="n">
        <f aca="false">MIN(AI128,MAX(0,N(Debts!$E$14)))</f>
        <v>0</v>
      </c>
    </row>
    <row r="129" customFormat="false" ht="15" hidden="false" customHeight="false" outlineLevel="0" collapsed="false">
      <c r="A129" s="53" t="n">
        <v>125</v>
      </c>
      <c r="B129" s="54" t="n">
        <f aca="false">EDATE('Start Here'!$B$8,124)</f>
        <v>50100</v>
      </c>
      <c r="C129" s="42" t="n">
        <f aca="false">SUM(F129:O129)</f>
        <v>0</v>
      </c>
      <c r="D129" s="42" t="n">
        <f aca="false">ROUND(SUM($Z129:$AI129)-SUM(P128:Y128),2)</f>
        <v>0</v>
      </c>
      <c r="E129" s="55" t="n">
        <f aca="false">SUM(P129:Y129)</f>
        <v>0</v>
      </c>
      <c r="F129" s="42" t="n">
        <f aca="false">AJ129+MIN(Z129-AJ129,MAX(0,'Start Here'!$B$10-SUM($AJ129:$AS129)-SUMPRODUCT(($Z$3:$AI$3&lt;Z$3)*($Z129:$AI129-$AJ129:$AS129))))</f>
        <v>0</v>
      </c>
      <c r="G129" s="42" t="n">
        <f aca="false">AK129+MIN(AA129-AK129,MAX(0,'Start Here'!$B$10-SUM($AJ129:$AS129)-SUMPRODUCT(($Z$3:$AI$3&lt;AA$3)*($Z129:$AI129-$AJ129:$AS129))))</f>
        <v>0</v>
      </c>
      <c r="H129" s="42" t="n">
        <f aca="false">AL129+MIN(AB129-AL129,MAX(0,'Start Here'!$B$10-SUM($AJ129:$AS129)-SUMPRODUCT(($Z$3:$AI$3&lt;AB$3)*($Z129:$AI129-$AJ129:$AS129))))</f>
        <v>0</v>
      </c>
      <c r="I129" s="42" t="n">
        <f aca="false">AM129+MIN(AC129-AM129,MAX(0,'Start Here'!$B$10-SUM($AJ129:$AS129)-SUMPRODUCT(($Z$3:$AI$3&lt;AC$3)*($Z129:$AI129-$AJ129:$AS129))))</f>
        <v>0</v>
      </c>
      <c r="J129" s="42" t="n">
        <f aca="false">AN129+MIN(AD129-AN129,MAX(0,'Start Here'!$B$10-SUM($AJ129:$AS129)-SUMPRODUCT(($Z$3:$AI$3&lt;AD$3)*($Z129:$AI129-$AJ129:$AS129))))</f>
        <v>0</v>
      </c>
      <c r="K129" s="42" t="n">
        <f aca="false">AO129+MIN(AE129-AO129,MAX(0,'Start Here'!$B$10-SUM($AJ129:$AS129)-SUMPRODUCT(($Z$3:$AI$3&lt;AE$3)*($Z129:$AI129-$AJ129:$AS129))))</f>
        <v>0</v>
      </c>
      <c r="L129" s="42" t="n">
        <f aca="false">AP129+MIN(AF129-AP129,MAX(0,'Start Here'!$B$10-SUM($AJ129:$AS129)-SUMPRODUCT(($Z$3:$AI$3&lt;AF$3)*($Z129:$AI129-$AJ129:$AS129))))</f>
        <v>0</v>
      </c>
      <c r="M129" s="42" t="n">
        <f aca="false">AQ129+MIN(AG129-AQ129,MAX(0,'Start Here'!$B$10-SUM($AJ129:$AS129)-SUMPRODUCT(($Z$3:$AI$3&lt;AG$3)*($Z129:$AI129-$AJ129:$AS129))))</f>
        <v>0</v>
      </c>
      <c r="N129" s="42" t="n">
        <f aca="false">AR129+MIN(AH129-AR129,MAX(0,'Start Here'!$B$10-SUM($AJ129:$AS129)-SUMPRODUCT(($Z$3:$AI$3&lt;AH$3)*($Z129:$AI129-$AJ129:$AS129))))</f>
        <v>0</v>
      </c>
      <c r="O129" s="42" t="n">
        <f aca="false">AS129+MIN(AI129-AS129,MAX(0,'Start Here'!$B$10-SUM($AJ129:$AS129)-SUMPRODUCT(($Z$3:$AI$3&lt;AI$3)*($Z129:$AI129-$AJ129:$AS129))))</f>
        <v>0</v>
      </c>
      <c r="P129" s="42" t="n">
        <f aca="false">ROUND(Z129-F129,2)</f>
        <v>0</v>
      </c>
      <c r="Q129" s="42" t="n">
        <f aca="false">ROUND(AA129-G129,2)</f>
        <v>0</v>
      </c>
      <c r="R129" s="42" t="n">
        <f aca="false">ROUND(AB129-H129,2)</f>
        <v>0</v>
      </c>
      <c r="S129" s="42" t="n">
        <f aca="false">ROUND(AC129-I129,2)</f>
        <v>0</v>
      </c>
      <c r="T129" s="42" t="n">
        <f aca="false">ROUND(AD129-J129,2)</f>
        <v>0</v>
      </c>
      <c r="U129" s="42" t="n">
        <f aca="false">ROUND(AE129-K129,2)</f>
        <v>0</v>
      </c>
      <c r="V129" s="42" t="n">
        <f aca="false">ROUND(AF129-L129,2)</f>
        <v>0</v>
      </c>
      <c r="W129" s="42" t="n">
        <f aca="false">ROUND(AG129-M129,2)</f>
        <v>0</v>
      </c>
      <c r="X129" s="42" t="n">
        <f aca="false">ROUND(AH129-N129,2)</f>
        <v>0</v>
      </c>
      <c r="Y129" s="42" t="n">
        <f aca="false">ROUND(AI129-O129,2)</f>
        <v>0</v>
      </c>
      <c r="Z129" s="56" t="n">
        <f aca="false">ROUND(P128*(1+N(Debts!$D$5)/12),2)</f>
        <v>0</v>
      </c>
      <c r="AA129" s="56" t="n">
        <f aca="false">ROUND(Q128*(1+N(Debts!$D$6)/12),2)</f>
        <v>0</v>
      </c>
      <c r="AB129" s="56" t="n">
        <f aca="false">ROUND(R128*(1+N(Debts!$D$7)/12),2)</f>
        <v>0</v>
      </c>
      <c r="AC129" s="56" t="n">
        <f aca="false">ROUND(S128*(1+N(Debts!$D$8)/12),2)</f>
        <v>0</v>
      </c>
      <c r="AD129" s="56" t="n">
        <f aca="false">ROUND(T128*(1+N(Debts!$D$9)/12),2)</f>
        <v>0</v>
      </c>
      <c r="AE129" s="56" t="n">
        <f aca="false">ROUND(U128*(1+N(Debts!$D$10)/12),2)</f>
        <v>0</v>
      </c>
      <c r="AF129" s="56" t="n">
        <f aca="false">ROUND(V128*(1+N(Debts!$D$11)/12),2)</f>
        <v>0</v>
      </c>
      <c r="AG129" s="56" t="n">
        <f aca="false">ROUND(W128*(1+N(Debts!$D$12)/12),2)</f>
        <v>0</v>
      </c>
      <c r="AH129" s="56" t="n">
        <f aca="false">ROUND(X128*(1+N(Debts!$D$13)/12),2)</f>
        <v>0</v>
      </c>
      <c r="AI129" s="56" t="n">
        <f aca="false">ROUND(Y128*(1+N(Debts!$D$14)/12),2)</f>
        <v>0</v>
      </c>
      <c r="AJ129" s="56" t="n">
        <f aca="false">MIN(Z129,MAX(0,N(Debts!$E$5)))</f>
        <v>0</v>
      </c>
      <c r="AK129" s="56" t="n">
        <f aca="false">MIN(AA129,MAX(0,N(Debts!$E$6)))</f>
        <v>0</v>
      </c>
      <c r="AL129" s="56" t="n">
        <f aca="false">MIN(AB129,MAX(0,N(Debts!$E$7)))</f>
        <v>0</v>
      </c>
      <c r="AM129" s="56" t="n">
        <f aca="false">MIN(AC129,MAX(0,N(Debts!$E$8)))</f>
        <v>0</v>
      </c>
      <c r="AN129" s="56" t="n">
        <f aca="false">MIN(AD129,MAX(0,N(Debts!$E$9)))</f>
        <v>0</v>
      </c>
      <c r="AO129" s="56" t="n">
        <f aca="false">MIN(AE129,MAX(0,N(Debts!$E$10)))</f>
        <v>0</v>
      </c>
      <c r="AP129" s="56" t="n">
        <f aca="false">MIN(AF129,MAX(0,N(Debts!$E$11)))</f>
        <v>0</v>
      </c>
      <c r="AQ129" s="56" t="n">
        <f aca="false">MIN(AG129,MAX(0,N(Debts!$E$12)))</f>
        <v>0</v>
      </c>
      <c r="AR129" s="56" t="n">
        <f aca="false">MIN(AH129,MAX(0,N(Debts!$E$13)))</f>
        <v>0</v>
      </c>
      <c r="AS129" s="56" t="n">
        <f aca="false">MIN(AI129,MAX(0,N(Debts!$E$14)))</f>
        <v>0</v>
      </c>
    </row>
    <row r="130" customFormat="false" ht="15" hidden="false" customHeight="false" outlineLevel="0" collapsed="false">
      <c r="A130" s="53" t="n">
        <v>126</v>
      </c>
      <c r="B130" s="54" t="n">
        <f aca="false">EDATE('Start Here'!$B$8,125)</f>
        <v>50131</v>
      </c>
      <c r="C130" s="42" t="n">
        <f aca="false">SUM(F130:O130)</f>
        <v>0</v>
      </c>
      <c r="D130" s="42" t="n">
        <f aca="false">ROUND(SUM($Z130:$AI130)-SUM(P129:Y129),2)</f>
        <v>0</v>
      </c>
      <c r="E130" s="55" t="n">
        <f aca="false">SUM(P130:Y130)</f>
        <v>0</v>
      </c>
      <c r="F130" s="42" t="n">
        <f aca="false">AJ130+MIN(Z130-AJ130,MAX(0,'Start Here'!$B$10-SUM($AJ130:$AS130)-SUMPRODUCT(($Z$3:$AI$3&lt;Z$3)*($Z130:$AI130-$AJ130:$AS130))))</f>
        <v>0</v>
      </c>
      <c r="G130" s="42" t="n">
        <f aca="false">AK130+MIN(AA130-AK130,MAX(0,'Start Here'!$B$10-SUM($AJ130:$AS130)-SUMPRODUCT(($Z$3:$AI$3&lt;AA$3)*($Z130:$AI130-$AJ130:$AS130))))</f>
        <v>0</v>
      </c>
      <c r="H130" s="42" t="n">
        <f aca="false">AL130+MIN(AB130-AL130,MAX(0,'Start Here'!$B$10-SUM($AJ130:$AS130)-SUMPRODUCT(($Z$3:$AI$3&lt;AB$3)*($Z130:$AI130-$AJ130:$AS130))))</f>
        <v>0</v>
      </c>
      <c r="I130" s="42" t="n">
        <f aca="false">AM130+MIN(AC130-AM130,MAX(0,'Start Here'!$B$10-SUM($AJ130:$AS130)-SUMPRODUCT(($Z$3:$AI$3&lt;AC$3)*($Z130:$AI130-$AJ130:$AS130))))</f>
        <v>0</v>
      </c>
      <c r="J130" s="42" t="n">
        <f aca="false">AN130+MIN(AD130-AN130,MAX(0,'Start Here'!$B$10-SUM($AJ130:$AS130)-SUMPRODUCT(($Z$3:$AI$3&lt;AD$3)*($Z130:$AI130-$AJ130:$AS130))))</f>
        <v>0</v>
      </c>
      <c r="K130" s="42" t="n">
        <f aca="false">AO130+MIN(AE130-AO130,MAX(0,'Start Here'!$B$10-SUM($AJ130:$AS130)-SUMPRODUCT(($Z$3:$AI$3&lt;AE$3)*($Z130:$AI130-$AJ130:$AS130))))</f>
        <v>0</v>
      </c>
      <c r="L130" s="42" t="n">
        <f aca="false">AP130+MIN(AF130-AP130,MAX(0,'Start Here'!$B$10-SUM($AJ130:$AS130)-SUMPRODUCT(($Z$3:$AI$3&lt;AF$3)*($Z130:$AI130-$AJ130:$AS130))))</f>
        <v>0</v>
      </c>
      <c r="M130" s="42" t="n">
        <f aca="false">AQ130+MIN(AG130-AQ130,MAX(0,'Start Here'!$B$10-SUM($AJ130:$AS130)-SUMPRODUCT(($Z$3:$AI$3&lt;AG$3)*($Z130:$AI130-$AJ130:$AS130))))</f>
        <v>0</v>
      </c>
      <c r="N130" s="42" t="n">
        <f aca="false">AR130+MIN(AH130-AR130,MAX(0,'Start Here'!$B$10-SUM($AJ130:$AS130)-SUMPRODUCT(($Z$3:$AI$3&lt;AH$3)*($Z130:$AI130-$AJ130:$AS130))))</f>
        <v>0</v>
      </c>
      <c r="O130" s="42" t="n">
        <f aca="false">AS130+MIN(AI130-AS130,MAX(0,'Start Here'!$B$10-SUM($AJ130:$AS130)-SUMPRODUCT(($Z$3:$AI$3&lt;AI$3)*($Z130:$AI130-$AJ130:$AS130))))</f>
        <v>0</v>
      </c>
      <c r="P130" s="42" t="n">
        <f aca="false">ROUND(Z130-F130,2)</f>
        <v>0</v>
      </c>
      <c r="Q130" s="42" t="n">
        <f aca="false">ROUND(AA130-G130,2)</f>
        <v>0</v>
      </c>
      <c r="R130" s="42" t="n">
        <f aca="false">ROUND(AB130-H130,2)</f>
        <v>0</v>
      </c>
      <c r="S130" s="42" t="n">
        <f aca="false">ROUND(AC130-I130,2)</f>
        <v>0</v>
      </c>
      <c r="T130" s="42" t="n">
        <f aca="false">ROUND(AD130-J130,2)</f>
        <v>0</v>
      </c>
      <c r="U130" s="42" t="n">
        <f aca="false">ROUND(AE130-K130,2)</f>
        <v>0</v>
      </c>
      <c r="V130" s="42" t="n">
        <f aca="false">ROUND(AF130-L130,2)</f>
        <v>0</v>
      </c>
      <c r="W130" s="42" t="n">
        <f aca="false">ROUND(AG130-M130,2)</f>
        <v>0</v>
      </c>
      <c r="X130" s="42" t="n">
        <f aca="false">ROUND(AH130-N130,2)</f>
        <v>0</v>
      </c>
      <c r="Y130" s="42" t="n">
        <f aca="false">ROUND(AI130-O130,2)</f>
        <v>0</v>
      </c>
      <c r="Z130" s="56" t="n">
        <f aca="false">ROUND(P129*(1+N(Debts!$D$5)/12),2)</f>
        <v>0</v>
      </c>
      <c r="AA130" s="56" t="n">
        <f aca="false">ROUND(Q129*(1+N(Debts!$D$6)/12),2)</f>
        <v>0</v>
      </c>
      <c r="AB130" s="56" t="n">
        <f aca="false">ROUND(R129*(1+N(Debts!$D$7)/12),2)</f>
        <v>0</v>
      </c>
      <c r="AC130" s="56" t="n">
        <f aca="false">ROUND(S129*(1+N(Debts!$D$8)/12),2)</f>
        <v>0</v>
      </c>
      <c r="AD130" s="56" t="n">
        <f aca="false">ROUND(T129*(1+N(Debts!$D$9)/12),2)</f>
        <v>0</v>
      </c>
      <c r="AE130" s="56" t="n">
        <f aca="false">ROUND(U129*(1+N(Debts!$D$10)/12),2)</f>
        <v>0</v>
      </c>
      <c r="AF130" s="56" t="n">
        <f aca="false">ROUND(V129*(1+N(Debts!$D$11)/12),2)</f>
        <v>0</v>
      </c>
      <c r="AG130" s="56" t="n">
        <f aca="false">ROUND(W129*(1+N(Debts!$D$12)/12),2)</f>
        <v>0</v>
      </c>
      <c r="AH130" s="56" t="n">
        <f aca="false">ROUND(X129*(1+N(Debts!$D$13)/12),2)</f>
        <v>0</v>
      </c>
      <c r="AI130" s="56" t="n">
        <f aca="false">ROUND(Y129*(1+N(Debts!$D$14)/12),2)</f>
        <v>0</v>
      </c>
      <c r="AJ130" s="56" t="n">
        <f aca="false">MIN(Z130,MAX(0,N(Debts!$E$5)))</f>
        <v>0</v>
      </c>
      <c r="AK130" s="56" t="n">
        <f aca="false">MIN(AA130,MAX(0,N(Debts!$E$6)))</f>
        <v>0</v>
      </c>
      <c r="AL130" s="56" t="n">
        <f aca="false">MIN(AB130,MAX(0,N(Debts!$E$7)))</f>
        <v>0</v>
      </c>
      <c r="AM130" s="56" t="n">
        <f aca="false">MIN(AC130,MAX(0,N(Debts!$E$8)))</f>
        <v>0</v>
      </c>
      <c r="AN130" s="56" t="n">
        <f aca="false">MIN(AD130,MAX(0,N(Debts!$E$9)))</f>
        <v>0</v>
      </c>
      <c r="AO130" s="56" t="n">
        <f aca="false">MIN(AE130,MAX(0,N(Debts!$E$10)))</f>
        <v>0</v>
      </c>
      <c r="AP130" s="56" t="n">
        <f aca="false">MIN(AF130,MAX(0,N(Debts!$E$11)))</f>
        <v>0</v>
      </c>
      <c r="AQ130" s="56" t="n">
        <f aca="false">MIN(AG130,MAX(0,N(Debts!$E$12)))</f>
        <v>0</v>
      </c>
      <c r="AR130" s="56" t="n">
        <f aca="false">MIN(AH130,MAX(0,N(Debts!$E$13)))</f>
        <v>0</v>
      </c>
      <c r="AS130" s="56" t="n">
        <f aca="false">MIN(AI130,MAX(0,N(Debts!$E$14)))</f>
        <v>0</v>
      </c>
    </row>
    <row r="131" customFormat="false" ht="15" hidden="false" customHeight="false" outlineLevel="0" collapsed="false">
      <c r="A131" s="53" t="n">
        <v>127</v>
      </c>
      <c r="B131" s="54" t="n">
        <f aca="false">EDATE('Start Here'!$B$8,126)</f>
        <v>50161</v>
      </c>
      <c r="C131" s="42" t="n">
        <f aca="false">SUM(F131:O131)</f>
        <v>0</v>
      </c>
      <c r="D131" s="42" t="n">
        <f aca="false">ROUND(SUM($Z131:$AI131)-SUM(P130:Y130),2)</f>
        <v>0</v>
      </c>
      <c r="E131" s="55" t="n">
        <f aca="false">SUM(P131:Y131)</f>
        <v>0</v>
      </c>
      <c r="F131" s="42" t="n">
        <f aca="false">AJ131+MIN(Z131-AJ131,MAX(0,'Start Here'!$B$10-SUM($AJ131:$AS131)-SUMPRODUCT(($Z$3:$AI$3&lt;Z$3)*($Z131:$AI131-$AJ131:$AS131))))</f>
        <v>0</v>
      </c>
      <c r="G131" s="42" t="n">
        <f aca="false">AK131+MIN(AA131-AK131,MAX(0,'Start Here'!$B$10-SUM($AJ131:$AS131)-SUMPRODUCT(($Z$3:$AI$3&lt;AA$3)*($Z131:$AI131-$AJ131:$AS131))))</f>
        <v>0</v>
      </c>
      <c r="H131" s="42" t="n">
        <f aca="false">AL131+MIN(AB131-AL131,MAX(0,'Start Here'!$B$10-SUM($AJ131:$AS131)-SUMPRODUCT(($Z$3:$AI$3&lt;AB$3)*($Z131:$AI131-$AJ131:$AS131))))</f>
        <v>0</v>
      </c>
      <c r="I131" s="42" t="n">
        <f aca="false">AM131+MIN(AC131-AM131,MAX(0,'Start Here'!$B$10-SUM($AJ131:$AS131)-SUMPRODUCT(($Z$3:$AI$3&lt;AC$3)*($Z131:$AI131-$AJ131:$AS131))))</f>
        <v>0</v>
      </c>
      <c r="J131" s="42" t="n">
        <f aca="false">AN131+MIN(AD131-AN131,MAX(0,'Start Here'!$B$10-SUM($AJ131:$AS131)-SUMPRODUCT(($Z$3:$AI$3&lt;AD$3)*($Z131:$AI131-$AJ131:$AS131))))</f>
        <v>0</v>
      </c>
      <c r="K131" s="42" t="n">
        <f aca="false">AO131+MIN(AE131-AO131,MAX(0,'Start Here'!$B$10-SUM($AJ131:$AS131)-SUMPRODUCT(($Z$3:$AI$3&lt;AE$3)*($Z131:$AI131-$AJ131:$AS131))))</f>
        <v>0</v>
      </c>
      <c r="L131" s="42" t="n">
        <f aca="false">AP131+MIN(AF131-AP131,MAX(0,'Start Here'!$B$10-SUM($AJ131:$AS131)-SUMPRODUCT(($Z$3:$AI$3&lt;AF$3)*($Z131:$AI131-$AJ131:$AS131))))</f>
        <v>0</v>
      </c>
      <c r="M131" s="42" t="n">
        <f aca="false">AQ131+MIN(AG131-AQ131,MAX(0,'Start Here'!$B$10-SUM($AJ131:$AS131)-SUMPRODUCT(($Z$3:$AI$3&lt;AG$3)*($Z131:$AI131-$AJ131:$AS131))))</f>
        <v>0</v>
      </c>
      <c r="N131" s="42" t="n">
        <f aca="false">AR131+MIN(AH131-AR131,MAX(0,'Start Here'!$B$10-SUM($AJ131:$AS131)-SUMPRODUCT(($Z$3:$AI$3&lt;AH$3)*($Z131:$AI131-$AJ131:$AS131))))</f>
        <v>0</v>
      </c>
      <c r="O131" s="42" t="n">
        <f aca="false">AS131+MIN(AI131-AS131,MAX(0,'Start Here'!$B$10-SUM($AJ131:$AS131)-SUMPRODUCT(($Z$3:$AI$3&lt;AI$3)*($Z131:$AI131-$AJ131:$AS131))))</f>
        <v>0</v>
      </c>
      <c r="P131" s="42" t="n">
        <f aca="false">ROUND(Z131-F131,2)</f>
        <v>0</v>
      </c>
      <c r="Q131" s="42" t="n">
        <f aca="false">ROUND(AA131-G131,2)</f>
        <v>0</v>
      </c>
      <c r="R131" s="42" t="n">
        <f aca="false">ROUND(AB131-H131,2)</f>
        <v>0</v>
      </c>
      <c r="S131" s="42" t="n">
        <f aca="false">ROUND(AC131-I131,2)</f>
        <v>0</v>
      </c>
      <c r="T131" s="42" t="n">
        <f aca="false">ROUND(AD131-J131,2)</f>
        <v>0</v>
      </c>
      <c r="U131" s="42" t="n">
        <f aca="false">ROUND(AE131-K131,2)</f>
        <v>0</v>
      </c>
      <c r="V131" s="42" t="n">
        <f aca="false">ROUND(AF131-L131,2)</f>
        <v>0</v>
      </c>
      <c r="W131" s="42" t="n">
        <f aca="false">ROUND(AG131-M131,2)</f>
        <v>0</v>
      </c>
      <c r="X131" s="42" t="n">
        <f aca="false">ROUND(AH131-N131,2)</f>
        <v>0</v>
      </c>
      <c r="Y131" s="42" t="n">
        <f aca="false">ROUND(AI131-O131,2)</f>
        <v>0</v>
      </c>
      <c r="Z131" s="56" t="n">
        <f aca="false">ROUND(P130*(1+N(Debts!$D$5)/12),2)</f>
        <v>0</v>
      </c>
      <c r="AA131" s="56" t="n">
        <f aca="false">ROUND(Q130*(1+N(Debts!$D$6)/12),2)</f>
        <v>0</v>
      </c>
      <c r="AB131" s="56" t="n">
        <f aca="false">ROUND(R130*(1+N(Debts!$D$7)/12),2)</f>
        <v>0</v>
      </c>
      <c r="AC131" s="56" t="n">
        <f aca="false">ROUND(S130*(1+N(Debts!$D$8)/12),2)</f>
        <v>0</v>
      </c>
      <c r="AD131" s="56" t="n">
        <f aca="false">ROUND(T130*(1+N(Debts!$D$9)/12),2)</f>
        <v>0</v>
      </c>
      <c r="AE131" s="56" t="n">
        <f aca="false">ROUND(U130*(1+N(Debts!$D$10)/12),2)</f>
        <v>0</v>
      </c>
      <c r="AF131" s="56" t="n">
        <f aca="false">ROUND(V130*(1+N(Debts!$D$11)/12),2)</f>
        <v>0</v>
      </c>
      <c r="AG131" s="56" t="n">
        <f aca="false">ROUND(W130*(1+N(Debts!$D$12)/12),2)</f>
        <v>0</v>
      </c>
      <c r="AH131" s="56" t="n">
        <f aca="false">ROUND(X130*(1+N(Debts!$D$13)/12),2)</f>
        <v>0</v>
      </c>
      <c r="AI131" s="56" t="n">
        <f aca="false">ROUND(Y130*(1+N(Debts!$D$14)/12),2)</f>
        <v>0</v>
      </c>
      <c r="AJ131" s="56" t="n">
        <f aca="false">MIN(Z131,MAX(0,N(Debts!$E$5)))</f>
        <v>0</v>
      </c>
      <c r="AK131" s="56" t="n">
        <f aca="false">MIN(AA131,MAX(0,N(Debts!$E$6)))</f>
        <v>0</v>
      </c>
      <c r="AL131" s="56" t="n">
        <f aca="false">MIN(AB131,MAX(0,N(Debts!$E$7)))</f>
        <v>0</v>
      </c>
      <c r="AM131" s="56" t="n">
        <f aca="false">MIN(AC131,MAX(0,N(Debts!$E$8)))</f>
        <v>0</v>
      </c>
      <c r="AN131" s="56" t="n">
        <f aca="false">MIN(AD131,MAX(0,N(Debts!$E$9)))</f>
        <v>0</v>
      </c>
      <c r="AO131" s="56" t="n">
        <f aca="false">MIN(AE131,MAX(0,N(Debts!$E$10)))</f>
        <v>0</v>
      </c>
      <c r="AP131" s="56" t="n">
        <f aca="false">MIN(AF131,MAX(0,N(Debts!$E$11)))</f>
        <v>0</v>
      </c>
      <c r="AQ131" s="56" t="n">
        <f aca="false">MIN(AG131,MAX(0,N(Debts!$E$12)))</f>
        <v>0</v>
      </c>
      <c r="AR131" s="56" t="n">
        <f aca="false">MIN(AH131,MAX(0,N(Debts!$E$13)))</f>
        <v>0</v>
      </c>
      <c r="AS131" s="56" t="n">
        <f aca="false">MIN(AI131,MAX(0,N(Debts!$E$14)))</f>
        <v>0</v>
      </c>
    </row>
    <row r="132" customFormat="false" ht="15" hidden="false" customHeight="false" outlineLevel="0" collapsed="false">
      <c r="A132" s="53" t="n">
        <v>128</v>
      </c>
      <c r="B132" s="54" t="n">
        <f aca="false">EDATE('Start Here'!$B$8,127)</f>
        <v>50192</v>
      </c>
      <c r="C132" s="42" t="n">
        <f aca="false">SUM(F132:O132)</f>
        <v>0</v>
      </c>
      <c r="D132" s="42" t="n">
        <f aca="false">ROUND(SUM($Z132:$AI132)-SUM(P131:Y131),2)</f>
        <v>0</v>
      </c>
      <c r="E132" s="55" t="n">
        <f aca="false">SUM(P132:Y132)</f>
        <v>0</v>
      </c>
      <c r="F132" s="42" t="n">
        <f aca="false">AJ132+MIN(Z132-AJ132,MAX(0,'Start Here'!$B$10-SUM($AJ132:$AS132)-SUMPRODUCT(($Z$3:$AI$3&lt;Z$3)*($Z132:$AI132-$AJ132:$AS132))))</f>
        <v>0</v>
      </c>
      <c r="G132" s="42" t="n">
        <f aca="false">AK132+MIN(AA132-AK132,MAX(0,'Start Here'!$B$10-SUM($AJ132:$AS132)-SUMPRODUCT(($Z$3:$AI$3&lt;AA$3)*($Z132:$AI132-$AJ132:$AS132))))</f>
        <v>0</v>
      </c>
      <c r="H132" s="42" t="n">
        <f aca="false">AL132+MIN(AB132-AL132,MAX(0,'Start Here'!$B$10-SUM($AJ132:$AS132)-SUMPRODUCT(($Z$3:$AI$3&lt;AB$3)*($Z132:$AI132-$AJ132:$AS132))))</f>
        <v>0</v>
      </c>
      <c r="I132" s="42" t="n">
        <f aca="false">AM132+MIN(AC132-AM132,MAX(0,'Start Here'!$B$10-SUM($AJ132:$AS132)-SUMPRODUCT(($Z$3:$AI$3&lt;AC$3)*($Z132:$AI132-$AJ132:$AS132))))</f>
        <v>0</v>
      </c>
      <c r="J132" s="42" t="n">
        <f aca="false">AN132+MIN(AD132-AN132,MAX(0,'Start Here'!$B$10-SUM($AJ132:$AS132)-SUMPRODUCT(($Z$3:$AI$3&lt;AD$3)*($Z132:$AI132-$AJ132:$AS132))))</f>
        <v>0</v>
      </c>
      <c r="K132" s="42" t="n">
        <f aca="false">AO132+MIN(AE132-AO132,MAX(0,'Start Here'!$B$10-SUM($AJ132:$AS132)-SUMPRODUCT(($Z$3:$AI$3&lt;AE$3)*($Z132:$AI132-$AJ132:$AS132))))</f>
        <v>0</v>
      </c>
      <c r="L132" s="42" t="n">
        <f aca="false">AP132+MIN(AF132-AP132,MAX(0,'Start Here'!$B$10-SUM($AJ132:$AS132)-SUMPRODUCT(($Z$3:$AI$3&lt;AF$3)*($Z132:$AI132-$AJ132:$AS132))))</f>
        <v>0</v>
      </c>
      <c r="M132" s="42" t="n">
        <f aca="false">AQ132+MIN(AG132-AQ132,MAX(0,'Start Here'!$B$10-SUM($AJ132:$AS132)-SUMPRODUCT(($Z$3:$AI$3&lt;AG$3)*($Z132:$AI132-$AJ132:$AS132))))</f>
        <v>0</v>
      </c>
      <c r="N132" s="42" t="n">
        <f aca="false">AR132+MIN(AH132-AR132,MAX(0,'Start Here'!$B$10-SUM($AJ132:$AS132)-SUMPRODUCT(($Z$3:$AI$3&lt;AH$3)*($Z132:$AI132-$AJ132:$AS132))))</f>
        <v>0</v>
      </c>
      <c r="O132" s="42" t="n">
        <f aca="false">AS132+MIN(AI132-AS132,MAX(0,'Start Here'!$B$10-SUM($AJ132:$AS132)-SUMPRODUCT(($Z$3:$AI$3&lt;AI$3)*($Z132:$AI132-$AJ132:$AS132))))</f>
        <v>0</v>
      </c>
      <c r="P132" s="42" t="n">
        <f aca="false">ROUND(Z132-F132,2)</f>
        <v>0</v>
      </c>
      <c r="Q132" s="42" t="n">
        <f aca="false">ROUND(AA132-G132,2)</f>
        <v>0</v>
      </c>
      <c r="R132" s="42" t="n">
        <f aca="false">ROUND(AB132-H132,2)</f>
        <v>0</v>
      </c>
      <c r="S132" s="42" t="n">
        <f aca="false">ROUND(AC132-I132,2)</f>
        <v>0</v>
      </c>
      <c r="T132" s="42" t="n">
        <f aca="false">ROUND(AD132-J132,2)</f>
        <v>0</v>
      </c>
      <c r="U132" s="42" t="n">
        <f aca="false">ROUND(AE132-K132,2)</f>
        <v>0</v>
      </c>
      <c r="V132" s="42" t="n">
        <f aca="false">ROUND(AF132-L132,2)</f>
        <v>0</v>
      </c>
      <c r="W132" s="42" t="n">
        <f aca="false">ROUND(AG132-M132,2)</f>
        <v>0</v>
      </c>
      <c r="X132" s="42" t="n">
        <f aca="false">ROUND(AH132-N132,2)</f>
        <v>0</v>
      </c>
      <c r="Y132" s="42" t="n">
        <f aca="false">ROUND(AI132-O132,2)</f>
        <v>0</v>
      </c>
      <c r="Z132" s="56" t="n">
        <f aca="false">ROUND(P131*(1+N(Debts!$D$5)/12),2)</f>
        <v>0</v>
      </c>
      <c r="AA132" s="56" t="n">
        <f aca="false">ROUND(Q131*(1+N(Debts!$D$6)/12),2)</f>
        <v>0</v>
      </c>
      <c r="AB132" s="56" t="n">
        <f aca="false">ROUND(R131*(1+N(Debts!$D$7)/12),2)</f>
        <v>0</v>
      </c>
      <c r="AC132" s="56" t="n">
        <f aca="false">ROUND(S131*(1+N(Debts!$D$8)/12),2)</f>
        <v>0</v>
      </c>
      <c r="AD132" s="56" t="n">
        <f aca="false">ROUND(T131*(1+N(Debts!$D$9)/12),2)</f>
        <v>0</v>
      </c>
      <c r="AE132" s="56" t="n">
        <f aca="false">ROUND(U131*(1+N(Debts!$D$10)/12),2)</f>
        <v>0</v>
      </c>
      <c r="AF132" s="56" t="n">
        <f aca="false">ROUND(V131*(1+N(Debts!$D$11)/12),2)</f>
        <v>0</v>
      </c>
      <c r="AG132" s="56" t="n">
        <f aca="false">ROUND(W131*(1+N(Debts!$D$12)/12),2)</f>
        <v>0</v>
      </c>
      <c r="AH132" s="56" t="n">
        <f aca="false">ROUND(X131*(1+N(Debts!$D$13)/12),2)</f>
        <v>0</v>
      </c>
      <c r="AI132" s="56" t="n">
        <f aca="false">ROUND(Y131*(1+N(Debts!$D$14)/12),2)</f>
        <v>0</v>
      </c>
      <c r="AJ132" s="56" t="n">
        <f aca="false">MIN(Z132,MAX(0,N(Debts!$E$5)))</f>
        <v>0</v>
      </c>
      <c r="AK132" s="56" t="n">
        <f aca="false">MIN(AA132,MAX(0,N(Debts!$E$6)))</f>
        <v>0</v>
      </c>
      <c r="AL132" s="56" t="n">
        <f aca="false">MIN(AB132,MAX(0,N(Debts!$E$7)))</f>
        <v>0</v>
      </c>
      <c r="AM132" s="56" t="n">
        <f aca="false">MIN(AC132,MAX(0,N(Debts!$E$8)))</f>
        <v>0</v>
      </c>
      <c r="AN132" s="56" t="n">
        <f aca="false">MIN(AD132,MAX(0,N(Debts!$E$9)))</f>
        <v>0</v>
      </c>
      <c r="AO132" s="56" t="n">
        <f aca="false">MIN(AE132,MAX(0,N(Debts!$E$10)))</f>
        <v>0</v>
      </c>
      <c r="AP132" s="56" t="n">
        <f aca="false">MIN(AF132,MAX(0,N(Debts!$E$11)))</f>
        <v>0</v>
      </c>
      <c r="AQ132" s="56" t="n">
        <f aca="false">MIN(AG132,MAX(0,N(Debts!$E$12)))</f>
        <v>0</v>
      </c>
      <c r="AR132" s="56" t="n">
        <f aca="false">MIN(AH132,MAX(0,N(Debts!$E$13)))</f>
        <v>0</v>
      </c>
      <c r="AS132" s="56" t="n">
        <f aca="false">MIN(AI132,MAX(0,N(Debts!$E$14)))</f>
        <v>0</v>
      </c>
    </row>
    <row r="133" customFormat="false" ht="15" hidden="false" customHeight="false" outlineLevel="0" collapsed="false">
      <c r="A133" s="53" t="n">
        <v>129</v>
      </c>
      <c r="B133" s="54" t="n">
        <f aca="false">EDATE('Start Here'!$B$8,128)</f>
        <v>50222</v>
      </c>
      <c r="C133" s="42" t="n">
        <f aca="false">SUM(F133:O133)</f>
        <v>0</v>
      </c>
      <c r="D133" s="42" t="n">
        <f aca="false">ROUND(SUM($Z133:$AI133)-SUM(P132:Y132),2)</f>
        <v>0</v>
      </c>
      <c r="E133" s="55" t="n">
        <f aca="false">SUM(P133:Y133)</f>
        <v>0</v>
      </c>
      <c r="F133" s="42" t="n">
        <f aca="false">AJ133+MIN(Z133-AJ133,MAX(0,'Start Here'!$B$10-SUM($AJ133:$AS133)-SUMPRODUCT(($Z$3:$AI$3&lt;Z$3)*($Z133:$AI133-$AJ133:$AS133))))</f>
        <v>0</v>
      </c>
      <c r="G133" s="42" t="n">
        <f aca="false">AK133+MIN(AA133-AK133,MAX(0,'Start Here'!$B$10-SUM($AJ133:$AS133)-SUMPRODUCT(($Z$3:$AI$3&lt;AA$3)*($Z133:$AI133-$AJ133:$AS133))))</f>
        <v>0</v>
      </c>
      <c r="H133" s="42" t="n">
        <f aca="false">AL133+MIN(AB133-AL133,MAX(0,'Start Here'!$B$10-SUM($AJ133:$AS133)-SUMPRODUCT(($Z$3:$AI$3&lt;AB$3)*($Z133:$AI133-$AJ133:$AS133))))</f>
        <v>0</v>
      </c>
      <c r="I133" s="42" t="n">
        <f aca="false">AM133+MIN(AC133-AM133,MAX(0,'Start Here'!$B$10-SUM($AJ133:$AS133)-SUMPRODUCT(($Z$3:$AI$3&lt;AC$3)*($Z133:$AI133-$AJ133:$AS133))))</f>
        <v>0</v>
      </c>
      <c r="J133" s="42" t="n">
        <f aca="false">AN133+MIN(AD133-AN133,MAX(0,'Start Here'!$B$10-SUM($AJ133:$AS133)-SUMPRODUCT(($Z$3:$AI$3&lt;AD$3)*($Z133:$AI133-$AJ133:$AS133))))</f>
        <v>0</v>
      </c>
      <c r="K133" s="42" t="n">
        <f aca="false">AO133+MIN(AE133-AO133,MAX(0,'Start Here'!$B$10-SUM($AJ133:$AS133)-SUMPRODUCT(($Z$3:$AI$3&lt;AE$3)*($Z133:$AI133-$AJ133:$AS133))))</f>
        <v>0</v>
      </c>
      <c r="L133" s="42" t="n">
        <f aca="false">AP133+MIN(AF133-AP133,MAX(0,'Start Here'!$B$10-SUM($AJ133:$AS133)-SUMPRODUCT(($Z$3:$AI$3&lt;AF$3)*($Z133:$AI133-$AJ133:$AS133))))</f>
        <v>0</v>
      </c>
      <c r="M133" s="42" t="n">
        <f aca="false">AQ133+MIN(AG133-AQ133,MAX(0,'Start Here'!$B$10-SUM($AJ133:$AS133)-SUMPRODUCT(($Z$3:$AI$3&lt;AG$3)*($Z133:$AI133-$AJ133:$AS133))))</f>
        <v>0</v>
      </c>
      <c r="N133" s="42" t="n">
        <f aca="false">AR133+MIN(AH133-AR133,MAX(0,'Start Here'!$B$10-SUM($AJ133:$AS133)-SUMPRODUCT(($Z$3:$AI$3&lt;AH$3)*($Z133:$AI133-$AJ133:$AS133))))</f>
        <v>0</v>
      </c>
      <c r="O133" s="42" t="n">
        <f aca="false">AS133+MIN(AI133-AS133,MAX(0,'Start Here'!$B$10-SUM($AJ133:$AS133)-SUMPRODUCT(($Z$3:$AI$3&lt;AI$3)*($Z133:$AI133-$AJ133:$AS133))))</f>
        <v>0</v>
      </c>
      <c r="P133" s="42" t="n">
        <f aca="false">ROUND(Z133-F133,2)</f>
        <v>0</v>
      </c>
      <c r="Q133" s="42" t="n">
        <f aca="false">ROUND(AA133-G133,2)</f>
        <v>0</v>
      </c>
      <c r="R133" s="42" t="n">
        <f aca="false">ROUND(AB133-H133,2)</f>
        <v>0</v>
      </c>
      <c r="S133" s="42" t="n">
        <f aca="false">ROUND(AC133-I133,2)</f>
        <v>0</v>
      </c>
      <c r="T133" s="42" t="n">
        <f aca="false">ROUND(AD133-J133,2)</f>
        <v>0</v>
      </c>
      <c r="U133" s="42" t="n">
        <f aca="false">ROUND(AE133-K133,2)</f>
        <v>0</v>
      </c>
      <c r="V133" s="42" t="n">
        <f aca="false">ROUND(AF133-L133,2)</f>
        <v>0</v>
      </c>
      <c r="W133" s="42" t="n">
        <f aca="false">ROUND(AG133-M133,2)</f>
        <v>0</v>
      </c>
      <c r="X133" s="42" t="n">
        <f aca="false">ROUND(AH133-N133,2)</f>
        <v>0</v>
      </c>
      <c r="Y133" s="42" t="n">
        <f aca="false">ROUND(AI133-O133,2)</f>
        <v>0</v>
      </c>
      <c r="Z133" s="56" t="n">
        <f aca="false">ROUND(P132*(1+N(Debts!$D$5)/12),2)</f>
        <v>0</v>
      </c>
      <c r="AA133" s="56" t="n">
        <f aca="false">ROUND(Q132*(1+N(Debts!$D$6)/12),2)</f>
        <v>0</v>
      </c>
      <c r="AB133" s="56" t="n">
        <f aca="false">ROUND(R132*(1+N(Debts!$D$7)/12),2)</f>
        <v>0</v>
      </c>
      <c r="AC133" s="56" t="n">
        <f aca="false">ROUND(S132*(1+N(Debts!$D$8)/12),2)</f>
        <v>0</v>
      </c>
      <c r="AD133" s="56" t="n">
        <f aca="false">ROUND(T132*(1+N(Debts!$D$9)/12),2)</f>
        <v>0</v>
      </c>
      <c r="AE133" s="56" t="n">
        <f aca="false">ROUND(U132*(1+N(Debts!$D$10)/12),2)</f>
        <v>0</v>
      </c>
      <c r="AF133" s="56" t="n">
        <f aca="false">ROUND(V132*(1+N(Debts!$D$11)/12),2)</f>
        <v>0</v>
      </c>
      <c r="AG133" s="56" t="n">
        <f aca="false">ROUND(W132*(1+N(Debts!$D$12)/12),2)</f>
        <v>0</v>
      </c>
      <c r="AH133" s="56" t="n">
        <f aca="false">ROUND(X132*(1+N(Debts!$D$13)/12),2)</f>
        <v>0</v>
      </c>
      <c r="AI133" s="56" t="n">
        <f aca="false">ROUND(Y132*(1+N(Debts!$D$14)/12),2)</f>
        <v>0</v>
      </c>
      <c r="AJ133" s="56" t="n">
        <f aca="false">MIN(Z133,MAX(0,N(Debts!$E$5)))</f>
        <v>0</v>
      </c>
      <c r="AK133" s="56" t="n">
        <f aca="false">MIN(AA133,MAX(0,N(Debts!$E$6)))</f>
        <v>0</v>
      </c>
      <c r="AL133" s="56" t="n">
        <f aca="false">MIN(AB133,MAX(0,N(Debts!$E$7)))</f>
        <v>0</v>
      </c>
      <c r="AM133" s="56" t="n">
        <f aca="false">MIN(AC133,MAX(0,N(Debts!$E$8)))</f>
        <v>0</v>
      </c>
      <c r="AN133" s="56" t="n">
        <f aca="false">MIN(AD133,MAX(0,N(Debts!$E$9)))</f>
        <v>0</v>
      </c>
      <c r="AO133" s="56" t="n">
        <f aca="false">MIN(AE133,MAX(0,N(Debts!$E$10)))</f>
        <v>0</v>
      </c>
      <c r="AP133" s="56" t="n">
        <f aca="false">MIN(AF133,MAX(0,N(Debts!$E$11)))</f>
        <v>0</v>
      </c>
      <c r="AQ133" s="56" t="n">
        <f aca="false">MIN(AG133,MAX(0,N(Debts!$E$12)))</f>
        <v>0</v>
      </c>
      <c r="AR133" s="56" t="n">
        <f aca="false">MIN(AH133,MAX(0,N(Debts!$E$13)))</f>
        <v>0</v>
      </c>
      <c r="AS133" s="56" t="n">
        <f aca="false">MIN(AI133,MAX(0,N(Debts!$E$14)))</f>
        <v>0</v>
      </c>
    </row>
    <row r="134" customFormat="false" ht="15" hidden="false" customHeight="false" outlineLevel="0" collapsed="false">
      <c r="A134" s="53" t="n">
        <v>130</v>
      </c>
      <c r="B134" s="54" t="n">
        <f aca="false">EDATE('Start Here'!$B$8,129)</f>
        <v>50253</v>
      </c>
      <c r="C134" s="42" t="n">
        <f aca="false">SUM(F134:O134)</f>
        <v>0</v>
      </c>
      <c r="D134" s="42" t="n">
        <f aca="false">ROUND(SUM($Z134:$AI134)-SUM(P133:Y133),2)</f>
        <v>0</v>
      </c>
      <c r="E134" s="55" t="n">
        <f aca="false">SUM(P134:Y134)</f>
        <v>0</v>
      </c>
      <c r="F134" s="42" t="n">
        <f aca="false">AJ134+MIN(Z134-AJ134,MAX(0,'Start Here'!$B$10-SUM($AJ134:$AS134)-SUMPRODUCT(($Z$3:$AI$3&lt;Z$3)*($Z134:$AI134-$AJ134:$AS134))))</f>
        <v>0</v>
      </c>
      <c r="G134" s="42" t="n">
        <f aca="false">AK134+MIN(AA134-AK134,MAX(0,'Start Here'!$B$10-SUM($AJ134:$AS134)-SUMPRODUCT(($Z$3:$AI$3&lt;AA$3)*($Z134:$AI134-$AJ134:$AS134))))</f>
        <v>0</v>
      </c>
      <c r="H134" s="42" t="n">
        <f aca="false">AL134+MIN(AB134-AL134,MAX(0,'Start Here'!$B$10-SUM($AJ134:$AS134)-SUMPRODUCT(($Z$3:$AI$3&lt;AB$3)*($Z134:$AI134-$AJ134:$AS134))))</f>
        <v>0</v>
      </c>
      <c r="I134" s="42" t="n">
        <f aca="false">AM134+MIN(AC134-AM134,MAX(0,'Start Here'!$B$10-SUM($AJ134:$AS134)-SUMPRODUCT(($Z$3:$AI$3&lt;AC$3)*($Z134:$AI134-$AJ134:$AS134))))</f>
        <v>0</v>
      </c>
      <c r="J134" s="42" t="n">
        <f aca="false">AN134+MIN(AD134-AN134,MAX(0,'Start Here'!$B$10-SUM($AJ134:$AS134)-SUMPRODUCT(($Z$3:$AI$3&lt;AD$3)*($Z134:$AI134-$AJ134:$AS134))))</f>
        <v>0</v>
      </c>
      <c r="K134" s="42" t="n">
        <f aca="false">AO134+MIN(AE134-AO134,MAX(0,'Start Here'!$B$10-SUM($AJ134:$AS134)-SUMPRODUCT(($Z$3:$AI$3&lt;AE$3)*($Z134:$AI134-$AJ134:$AS134))))</f>
        <v>0</v>
      </c>
      <c r="L134" s="42" t="n">
        <f aca="false">AP134+MIN(AF134-AP134,MAX(0,'Start Here'!$B$10-SUM($AJ134:$AS134)-SUMPRODUCT(($Z$3:$AI$3&lt;AF$3)*($Z134:$AI134-$AJ134:$AS134))))</f>
        <v>0</v>
      </c>
      <c r="M134" s="42" t="n">
        <f aca="false">AQ134+MIN(AG134-AQ134,MAX(0,'Start Here'!$B$10-SUM($AJ134:$AS134)-SUMPRODUCT(($Z$3:$AI$3&lt;AG$3)*($Z134:$AI134-$AJ134:$AS134))))</f>
        <v>0</v>
      </c>
      <c r="N134" s="42" t="n">
        <f aca="false">AR134+MIN(AH134-AR134,MAX(0,'Start Here'!$B$10-SUM($AJ134:$AS134)-SUMPRODUCT(($Z$3:$AI$3&lt;AH$3)*($Z134:$AI134-$AJ134:$AS134))))</f>
        <v>0</v>
      </c>
      <c r="O134" s="42" t="n">
        <f aca="false">AS134+MIN(AI134-AS134,MAX(0,'Start Here'!$B$10-SUM($AJ134:$AS134)-SUMPRODUCT(($Z$3:$AI$3&lt;AI$3)*($Z134:$AI134-$AJ134:$AS134))))</f>
        <v>0</v>
      </c>
      <c r="P134" s="42" t="n">
        <f aca="false">ROUND(Z134-F134,2)</f>
        <v>0</v>
      </c>
      <c r="Q134" s="42" t="n">
        <f aca="false">ROUND(AA134-G134,2)</f>
        <v>0</v>
      </c>
      <c r="R134" s="42" t="n">
        <f aca="false">ROUND(AB134-H134,2)</f>
        <v>0</v>
      </c>
      <c r="S134" s="42" t="n">
        <f aca="false">ROUND(AC134-I134,2)</f>
        <v>0</v>
      </c>
      <c r="T134" s="42" t="n">
        <f aca="false">ROUND(AD134-J134,2)</f>
        <v>0</v>
      </c>
      <c r="U134" s="42" t="n">
        <f aca="false">ROUND(AE134-K134,2)</f>
        <v>0</v>
      </c>
      <c r="V134" s="42" t="n">
        <f aca="false">ROUND(AF134-L134,2)</f>
        <v>0</v>
      </c>
      <c r="W134" s="42" t="n">
        <f aca="false">ROUND(AG134-M134,2)</f>
        <v>0</v>
      </c>
      <c r="X134" s="42" t="n">
        <f aca="false">ROUND(AH134-N134,2)</f>
        <v>0</v>
      </c>
      <c r="Y134" s="42" t="n">
        <f aca="false">ROUND(AI134-O134,2)</f>
        <v>0</v>
      </c>
      <c r="Z134" s="56" t="n">
        <f aca="false">ROUND(P133*(1+N(Debts!$D$5)/12),2)</f>
        <v>0</v>
      </c>
      <c r="AA134" s="56" t="n">
        <f aca="false">ROUND(Q133*(1+N(Debts!$D$6)/12),2)</f>
        <v>0</v>
      </c>
      <c r="AB134" s="56" t="n">
        <f aca="false">ROUND(R133*(1+N(Debts!$D$7)/12),2)</f>
        <v>0</v>
      </c>
      <c r="AC134" s="56" t="n">
        <f aca="false">ROUND(S133*(1+N(Debts!$D$8)/12),2)</f>
        <v>0</v>
      </c>
      <c r="AD134" s="56" t="n">
        <f aca="false">ROUND(T133*(1+N(Debts!$D$9)/12),2)</f>
        <v>0</v>
      </c>
      <c r="AE134" s="56" t="n">
        <f aca="false">ROUND(U133*(1+N(Debts!$D$10)/12),2)</f>
        <v>0</v>
      </c>
      <c r="AF134" s="56" t="n">
        <f aca="false">ROUND(V133*(1+N(Debts!$D$11)/12),2)</f>
        <v>0</v>
      </c>
      <c r="AG134" s="56" t="n">
        <f aca="false">ROUND(W133*(1+N(Debts!$D$12)/12),2)</f>
        <v>0</v>
      </c>
      <c r="AH134" s="56" t="n">
        <f aca="false">ROUND(X133*(1+N(Debts!$D$13)/12),2)</f>
        <v>0</v>
      </c>
      <c r="AI134" s="56" t="n">
        <f aca="false">ROUND(Y133*(1+N(Debts!$D$14)/12),2)</f>
        <v>0</v>
      </c>
      <c r="AJ134" s="56" t="n">
        <f aca="false">MIN(Z134,MAX(0,N(Debts!$E$5)))</f>
        <v>0</v>
      </c>
      <c r="AK134" s="56" t="n">
        <f aca="false">MIN(AA134,MAX(0,N(Debts!$E$6)))</f>
        <v>0</v>
      </c>
      <c r="AL134" s="56" t="n">
        <f aca="false">MIN(AB134,MAX(0,N(Debts!$E$7)))</f>
        <v>0</v>
      </c>
      <c r="AM134" s="56" t="n">
        <f aca="false">MIN(AC134,MAX(0,N(Debts!$E$8)))</f>
        <v>0</v>
      </c>
      <c r="AN134" s="56" t="n">
        <f aca="false">MIN(AD134,MAX(0,N(Debts!$E$9)))</f>
        <v>0</v>
      </c>
      <c r="AO134" s="56" t="n">
        <f aca="false">MIN(AE134,MAX(0,N(Debts!$E$10)))</f>
        <v>0</v>
      </c>
      <c r="AP134" s="56" t="n">
        <f aca="false">MIN(AF134,MAX(0,N(Debts!$E$11)))</f>
        <v>0</v>
      </c>
      <c r="AQ134" s="56" t="n">
        <f aca="false">MIN(AG134,MAX(0,N(Debts!$E$12)))</f>
        <v>0</v>
      </c>
      <c r="AR134" s="56" t="n">
        <f aca="false">MIN(AH134,MAX(0,N(Debts!$E$13)))</f>
        <v>0</v>
      </c>
      <c r="AS134" s="56" t="n">
        <f aca="false">MIN(AI134,MAX(0,N(Debts!$E$14)))</f>
        <v>0</v>
      </c>
    </row>
    <row r="135" customFormat="false" ht="15" hidden="false" customHeight="false" outlineLevel="0" collapsed="false">
      <c r="A135" s="53" t="n">
        <v>131</v>
      </c>
      <c r="B135" s="54" t="n">
        <f aca="false">EDATE('Start Here'!$B$8,130)</f>
        <v>50284</v>
      </c>
      <c r="C135" s="42" t="n">
        <f aca="false">SUM(F135:O135)</f>
        <v>0</v>
      </c>
      <c r="D135" s="42" t="n">
        <f aca="false">ROUND(SUM($Z135:$AI135)-SUM(P134:Y134),2)</f>
        <v>0</v>
      </c>
      <c r="E135" s="55" t="n">
        <f aca="false">SUM(P135:Y135)</f>
        <v>0</v>
      </c>
      <c r="F135" s="42" t="n">
        <f aca="false">AJ135+MIN(Z135-AJ135,MAX(0,'Start Here'!$B$10-SUM($AJ135:$AS135)-SUMPRODUCT(($Z$3:$AI$3&lt;Z$3)*($Z135:$AI135-$AJ135:$AS135))))</f>
        <v>0</v>
      </c>
      <c r="G135" s="42" t="n">
        <f aca="false">AK135+MIN(AA135-AK135,MAX(0,'Start Here'!$B$10-SUM($AJ135:$AS135)-SUMPRODUCT(($Z$3:$AI$3&lt;AA$3)*($Z135:$AI135-$AJ135:$AS135))))</f>
        <v>0</v>
      </c>
      <c r="H135" s="42" t="n">
        <f aca="false">AL135+MIN(AB135-AL135,MAX(0,'Start Here'!$B$10-SUM($AJ135:$AS135)-SUMPRODUCT(($Z$3:$AI$3&lt;AB$3)*($Z135:$AI135-$AJ135:$AS135))))</f>
        <v>0</v>
      </c>
      <c r="I135" s="42" t="n">
        <f aca="false">AM135+MIN(AC135-AM135,MAX(0,'Start Here'!$B$10-SUM($AJ135:$AS135)-SUMPRODUCT(($Z$3:$AI$3&lt;AC$3)*($Z135:$AI135-$AJ135:$AS135))))</f>
        <v>0</v>
      </c>
      <c r="J135" s="42" t="n">
        <f aca="false">AN135+MIN(AD135-AN135,MAX(0,'Start Here'!$B$10-SUM($AJ135:$AS135)-SUMPRODUCT(($Z$3:$AI$3&lt;AD$3)*($Z135:$AI135-$AJ135:$AS135))))</f>
        <v>0</v>
      </c>
      <c r="K135" s="42" t="n">
        <f aca="false">AO135+MIN(AE135-AO135,MAX(0,'Start Here'!$B$10-SUM($AJ135:$AS135)-SUMPRODUCT(($Z$3:$AI$3&lt;AE$3)*($Z135:$AI135-$AJ135:$AS135))))</f>
        <v>0</v>
      </c>
      <c r="L135" s="42" t="n">
        <f aca="false">AP135+MIN(AF135-AP135,MAX(0,'Start Here'!$B$10-SUM($AJ135:$AS135)-SUMPRODUCT(($Z$3:$AI$3&lt;AF$3)*($Z135:$AI135-$AJ135:$AS135))))</f>
        <v>0</v>
      </c>
      <c r="M135" s="42" t="n">
        <f aca="false">AQ135+MIN(AG135-AQ135,MAX(0,'Start Here'!$B$10-SUM($AJ135:$AS135)-SUMPRODUCT(($Z$3:$AI$3&lt;AG$3)*($Z135:$AI135-$AJ135:$AS135))))</f>
        <v>0</v>
      </c>
      <c r="N135" s="42" t="n">
        <f aca="false">AR135+MIN(AH135-AR135,MAX(0,'Start Here'!$B$10-SUM($AJ135:$AS135)-SUMPRODUCT(($Z$3:$AI$3&lt;AH$3)*($Z135:$AI135-$AJ135:$AS135))))</f>
        <v>0</v>
      </c>
      <c r="O135" s="42" t="n">
        <f aca="false">AS135+MIN(AI135-AS135,MAX(0,'Start Here'!$B$10-SUM($AJ135:$AS135)-SUMPRODUCT(($Z$3:$AI$3&lt;AI$3)*($Z135:$AI135-$AJ135:$AS135))))</f>
        <v>0</v>
      </c>
      <c r="P135" s="42" t="n">
        <f aca="false">ROUND(Z135-F135,2)</f>
        <v>0</v>
      </c>
      <c r="Q135" s="42" t="n">
        <f aca="false">ROUND(AA135-G135,2)</f>
        <v>0</v>
      </c>
      <c r="R135" s="42" t="n">
        <f aca="false">ROUND(AB135-H135,2)</f>
        <v>0</v>
      </c>
      <c r="S135" s="42" t="n">
        <f aca="false">ROUND(AC135-I135,2)</f>
        <v>0</v>
      </c>
      <c r="T135" s="42" t="n">
        <f aca="false">ROUND(AD135-J135,2)</f>
        <v>0</v>
      </c>
      <c r="U135" s="42" t="n">
        <f aca="false">ROUND(AE135-K135,2)</f>
        <v>0</v>
      </c>
      <c r="V135" s="42" t="n">
        <f aca="false">ROUND(AF135-L135,2)</f>
        <v>0</v>
      </c>
      <c r="W135" s="42" t="n">
        <f aca="false">ROUND(AG135-M135,2)</f>
        <v>0</v>
      </c>
      <c r="X135" s="42" t="n">
        <f aca="false">ROUND(AH135-N135,2)</f>
        <v>0</v>
      </c>
      <c r="Y135" s="42" t="n">
        <f aca="false">ROUND(AI135-O135,2)</f>
        <v>0</v>
      </c>
      <c r="Z135" s="56" t="n">
        <f aca="false">ROUND(P134*(1+N(Debts!$D$5)/12),2)</f>
        <v>0</v>
      </c>
      <c r="AA135" s="56" t="n">
        <f aca="false">ROUND(Q134*(1+N(Debts!$D$6)/12),2)</f>
        <v>0</v>
      </c>
      <c r="AB135" s="56" t="n">
        <f aca="false">ROUND(R134*(1+N(Debts!$D$7)/12),2)</f>
        <v>0</v>
      </c>
      <c r="AC135" s="56" t="n">
        <f aca="false">ROUND(S134*(1+N(Debts!$D$8)/12),2)</f>
        <v>0</v>
      </c>
      <c r="AD135" s="56" t="n">
        <f aca="false">ROUND(T134*(1+N(Debts!$D$9)/12),2)</f>
        <v>0</v>
      </c>
      <c r="AE135" s="56" t="n">
        <f aca="false">ROUND(U134*(1+N(Debts!$D$10)/12),2)</f>
        <v>0</v>
      </c>
      <c r="AF135" s="56" t="n">
        <f aca="false">ROUND(V134*(1+N(Debts!$D$11)/12),2)</f>
        <v>0</v>
      </c>
      <c r="AG135" s="56" t="n">
        <f aca="false">ROUND(W134*(1+N(Debts!$D$12)/12),2)</f>
        <v>0</v>
      </c>
      <c r="AH135" s="56" t="n">
        <f aca="false">ROUND(X134*(1+N(Debts!$D$13)/12),2)</f>
        <v>0</v>
      </c>
      <c r="AI135" s="56" t="n">
        <f aca="false">ROUND(Y134*(1+N(Debts!$D$14)/12),2)</f>
        <v>0</v>
      </c>
      <c r="AJ135" s="56" t="n">
        <f aca="false">MIN(Z135,MAX(0,N(Debts!$E$5)))</f>
        <v>0</v>
      </c>
      <c r="AK135" s="56" t="n">
        <f aca="false">MIN(AA135,MAX(0,N(Debts!$E$6)))</f>
        <v>0</v>
      </c>
      <c r="AL135" s="56" t="n">
        <f aca="false">MIN(AB135,MAX(0,N(Debts!$E$7)))</f>
        <v>0</v>
      </c>
      <c r="AM135" s="56" t="n">
        <f aca="false">MIN(AC135,MAX(0,N(Debts!$E$8)))</f>
        <v>0</v>
      </c>
      <c r="AN135" s="56" t="n">
        <f aca="false">MIN(AD135,MAX(0,N(Debts!$E$9)))</f>
        <v>0</v>
      </c>
      <c r="AO135" s="56" t="n">
        <f aca="false">MIN(AE135,MAX(0,N(Debts!$E$10)))</f>
        <v>0</v>
      </c>
      <c r="AP135" s="56" t="n">
        <f aca="false">MIN(AF135,MAX(0,N(Debts!$E$11)))</f>
        <v>0</v>
      </c>
      <c r="AQ135" s="56" t="n">
        <f aca="false">MIN(AG135,MAX(0,N(Debts!$E$12)))</f>
        <v>0</v>
      </c>
      <c r="AR135" s="56" t="n">
        <f aca="false">MIN(AH135,MAX(0,N(Debts!$E$13)))</f>
        <v>0</v>
      </c>
      <c r="AS135" s="56" t="n">
        <f aca="false">MIN(AI135,MAX(0,N(Debts!$E$14)))</f>
        <v>0</v>
      </c>
    </row>
    <row r="136" customFormat="false" ht="15" hidden="false" customHeight="false" outlineLevel="0" collapsed="false">
      <c r="A136" s="53" t="n">
        <v>132</v>
      </c>
      <c r="B136" s="54" t="n">
        <f aca="false">EDATE('Start Here'!$B$8,131)</f>
        <v>50314</v>
      </c>
      <c r="C136" s="42" t="n">
        <f aca="false">SUM(F136:O136)</f>
        <v>0</v>
      </c>
      <c r="D136" s="42" t="n">
        <f aca="false">ROUND(SUM($Z136:$AI136)-SUM(P135:Y135),2)</f>
        <v>0</v>
      </c>
      <c r="E136" s="55" t="n">
        <f aca="false">SUM(P136:Y136)</f>
        <v>0</v>
      </c>
      <c r="F136" s="42" t="n">
        <f aca="false">AJ136+MIN(Z136-AJ136,MAX(0,'Start Here'!$B$10-SUM($AJ136:$AS136)-SUMPRODUCT(($Z$3:$AI$3&lt;Z$3)*($Z136:$AI136-$AJ136:$AS136))))</f>
        <v>0</v>
      </c>
      <c r="G136" s="42" t="n">
        <f aca="false">AK136+MIN(AA136-AK136,MAX(0,'Start Here'!$B$10-SUM($AJ136:$AS136)-SUMPRODUCT(($Z$3:$AI$3&lt;AA$3)*($Z136:$AI136-$AJ136:$AS136))))</f>
        <v>0</v>
      </c>
      <c r="H136" s="42" t="n">
        <f aca="false">AL136+MIN(AB136-AL136,MAX(0,'Start Here'!$B$10-SUM($AJ136:$AS136)-SUMPRODUCT(($Z$3:$AI$3&lt;AB$3)*($Z136:$AI136-$AJ136:$AS136))))</f>
        <v>0</v>
      </c>
      <c r="I136" s="42" t="n">
        <f aca="false">AM136+MIN(AC136-AM136,MAX(0,'Start Here'!$B$10-SUM($AJ136:$AS136)-SUMPRODUCT(($Z$3:$AI$3&lt;AC$3)*($Z136:$AI136-$AJ136:$AS136))))</f>
        <v>0</v>
      </c>
      <c r="J136" s="42" t="n">
        <f aca="false">AN136+MIN(AD136-AN136,MAX(0,'Start Here'!$B$10-SUM($AJ136:$AS136)-SUMPRODUCT(($Z$3:$AI$3&lt;AD$3)*($Z136:$AI136-$AJ136:$AS136))))</f>
        <v>0</v>
      </c>
      <c r="K136" s="42" t="n">
        <f aca="false">AO136+MIN(AE136-AO136,MAX(0,'Start Here'!$B$10-SUM($AJ136:$AS136)-SUMPRODUCT(($Z$3:$AI$3&lt;AE$3)*($Z136:$AI136-$AJ136:$AS136))))</f>
        <v>0</v>
      </c>
      <c r="L136" s="42" t="n">
        <f aca="false">AP136+MIN(AF136-AP136,MAX(0,'Start Here'!$B$10-SUM($AJ136:$AS136)-SUMPRODUCT(($Z$3:$AI$3&lt;AF$3)*($Z136:$AI136-$AJ136:$AS136))))</f>
        <v>0</v>
      </c>
      <c r="M136" s="42" t="n">
        <f aca="false">AQ136+MIN(AG136-AQ136,MAX(0,'Start Here'!$B$10-SUM($AJ136:$AS136)-SUMPRODUCT(($Z$3:$AI$3&lt;AG$3)*($Z136:$AI136-$AJ136:$AS136))))</f>
        <v>0</v>
      </c>
      <c r="N136" s="42" t="n">
        <f aca="false">AR136+MIN(AH136-AR136,MAX(0,'Start Here'!$B$10-SUM($AJ136:$AS136)-SUMPRODUCT(($Z$3:$AI$3&lt;AH$3)*($Z136:$AI136-$AJ136:$AS136))))</f>
        <v>0</v>
      </c>
      <c r="O136" s="42" t="n">
        <f aca="false">AS136+MIN(AI136-AS136,MAX(0,'Start Here'!$B$10-SUM($AJ136:$AS136)-SUMPRODUCT(($Z$3:$AI$3&lt;AI$3)*($Z136:$AI136-$AJ136:$AS136))))</f>
        <v>0</v>
      </c>
      <c r="P136" s="42" t="n">
        <f aca="false">ROUND(Z136-F136,2)</f>
        <v>0</v>
      </c>
      <c r="Q136" s="42" t="n">
        <f aca="false">ROUND(AA136-G136,2)</f>
        <v>0</v>
      </c>
      <c r="R136" s="42" t="n">
        <f aca="false">ROUND(AB136-H136,2)</f>
        <v>0</v>
      </c>
      <c r="S136" s="42" t="n">
        <f aca="false">ROUND(AC136-I136,2)</f>
        <v>0</v>
      </c>
      <c r="T136" s="42" t="n">
        <f aca="false">ROUND(AD136-J136,2)</f>
        <v>0</v>
      </c>
      <c r="U136" s="42" t="n">
        <f aca="false">ROUND(AE136-K136,2)</f>
        <v>0</v>
      </c>
      <c r="V136" s="42" t="n">
        <f aca="false">ROUND(AF136-L136,2)</f>
        <v>0</v>
      </c>
      <c r="W136" s="42" t="n">
        <f aca="false">ROUND(AG136-M136,2)</f>
        <v>0</v>
      </c>
      <c r="X136" s="42" t="n">
        <f aca="false">ROUND(AH136-N136,2)</f>
        <v>0</v>
      </c>
      <c r="Y136" s="42" t="n">
        <f aca="false">ROUND(AI136-O136,2)</f>
        <v>0</v>
      </c>
      <c r="Z136" s="56" t="n">
        <f aca="false">ROUND(P135*(1+N(Debts!$D$5)/12),2)</f>
        <v>0</v>
      </c>
      <c r="AA136" s="56" t="n">
        <f aca="false">ROUND(Q135*(1+N(Debts!$D$6)/12),2)</f>
        <v>0</v>
      </c>
      <c r="AB136" s="56" t="n">
        <f aca="false">ROUND(R135*(1+N(Debts!$D$7)/12),2)</f>
        <v>0</v>
      </c>
      <c r="AC136" s="56" t="n">
        <f aca="false">ROUND(S135*(1+N(Debts!$D$8)/12),2)</f>
        <v>0</v>
      </c>
      <c r="AD136" s="56" t="n">
        <f aca="false">ROUND(T135*(1+N(Debts!$D$9)/12),2)</f>
        <v>0</v>
      </c>
      <c r="AE136" s="56" t="n">
        <f aca="false">ROUND(U135*(1+N(Debts!$D$10)/12),2)</f>
        <v>0</v>
      </c>
      <c r="AF136" s="56" t="n">
        <f aca="false">ROUND(V135*(1+N(Debts!$D$11)/12),2)</f>
        <v>0</v>
      </c>
      <c r="AG136" s="56" t="n">
        <f aca="false">ROUND(W135*(1+N(Debts!$D$12)/12),2)</f>
        <v>0</v>
      </c>
      <c r="AH136" s="56" t="n">
        <f aca="false">ROUND(X135*(1+N(Debts!$D$13)/12),2)</f>
        <v>0</v>
      </c>
      <c r="AI136" s="56" t="n">
        <f aca="false">ROUND(Y135*(1+N(Debts!$D$14)/12),2)</f>
        <v>0</v>
      </c>
      <c r="AJ136" s="56" t="n">
        <f aca="false">MIN(Z136,MAX(0,N(Debts!$E$5)))</f>
        <v>0</v>
      </c>
      <c r="AK136" s="56" t="n">
        <f aca="false">MIN(AA136,MAX(0,N(Debts!$E$6)))</f>
        <v>0</v>
      </c>
      <c r="AL136" s="56" t="n">
        <f aca="false">MIN(AB136,MAX(0,N(Debts!$E$7)))</f>
        <v>0</v>
      </c>
      <c r="AM136" s="56" t="n">
        <f aca="false">MIN(AC136,MAX(0,N(Debts!$E$8)))</f>
        <v>0</v>
      </c>
      <c r="AN136" s="56" t="n">
        <f aca="false">MIN(AD136,MAX(0,N(Debts!$E$9)))</f>
        <v>0</v>
      </c>
      <c r="AO136" s="56" t="n">
        <f aca="false">MIN(AE136,MAX(0,N(Debts!$E$10)))</f>
        <v>0</v>
      </c>
      <c r="AP136" s="56" t="n">
        <f aca="false">MIN(AF136,MAX(0,N(Debts!$E$11)))</f>
        <v>0</v>
      </c>
      <c r="AQ136" s="56" t="n">
        <f aca="false">MIN(AG136,MAX(0,N(Debts!$E$12)))</f>
        <v>0</v>
      </c>
      <c r="AR136" s="56" t="n">
        <f aca="false">MIN(AH136,MAX(0,N(Debts!$E$13)))</f>
        <v>0</v>
      </c>
      <c r="AS136" s="56" t="n">
        <f aca="false">MIN(AI136,MAX(0,N(Debts!$E$14)))</f>
        <v>0</v>
      </c>
    </row>
    <row r="137" customFormat="false" ht="15" hidden="false" customHeight="false" outlineLevel="0" collapsed="false">
      <c r="A137" s="53" t="n">
        <v>133</v>
      </c>
      <c r="B137" s="54" t="n">
        <f aca="false">EDATE('Start Here'!$B$8,132)</f>
        <v>50345</v>
      </c>
      <c r="C137" s="42" t="n">
        <f aca="false">SUM(F137:O137)</f>
        <v>0</v>
      </c>
      <c r="D137" s="42" t="n">
        <f aca="false">ROUND(SUM($Z137:$AI137)-SUM(P136:Y136),2)</f>
        <v>0</v>
      </c>
      <c r="E137" s="55" t="n">
        <f aca="false">SUM(P137:Y137)</f>
        <v>0</v>
      </c>
      <c r="F137" s="42" t="n">
        <f aca="false">AJ137+MIN(Z137-AJ137,MAX(0,'Start Here'!$B$10-SUM($AJ137:$AS137)-SUMPRODUCT(($Z$3:$AI$3&lt;Z$3)*($Z137:$AI137-$AJ137:$AS137))))</f>
        <v>0</v>
      </c>
      <c r="G137" s="42" t="n">
        <f aca="false">AK137+MIN(AA137-AK137,MAX(0,'Start Here'!$B$10-SUM($AJ137:$AS137)-SUMPRODUCT(($Z$3:$AI$3&lt;AA$3)*($Z137:$AI137-$AJ137:$AS137))))</f>
        <v>0</v>
      </c>
      <c r="H137" s="42" t="n">
        <f aca="false">AL137+MIN(AB137-AL137,MAX(0,'Start Here'!$B$10-SUM($AJ137:$AS137)-SUMPRODUCT(($Z$3:$AI$3&lt;AB$3)*($Z137:$AI137-$AJ137:$AS137))))</f>
        <v>0</v>
      </c>
      <c r="I137" s="42" t="n">
        <f aca="false">AM137+MIN(AC137-AM137,MAX(0,'Start Here'!$B$10-SUM($AJ137:$AS137)-SUMPRODUCT(($Z$3:$AI$3&lt;AC$3)*($Z137:$AI137-$AJ137:$AS137))))</f>
        <v>0</v>
      </c>
      <c r="J137" s="42" t="n">
        <f aca="false">AN137+MIN(AD137-AN137,MAX(0,'Start Here'!$B$10-SUM($AJ137:$AS137)-SUMPRODUCT(($Z$3:$AI$3&lt;AD$3)*($Z137:$AI137-$AJ137:$AS137))))</f>
        <v>0</v>
      </c>
      <c r="K137" s="42" t="n">
        <f aca="false">AO137+MIN(AE137-AO137,MAX(0,'Start Here'!$B$10-SUM($AJ137:$AS137)-SUMPRODUCT(($Z$3:$AI$3&lt;AE$3)*($Z137:$AI137-$AJ137:$AS137))))</f>
        <v>0</v>
      </c>
      <c r="L137" s="42" t="n">
        <f aca="false">AP137+MIN(AF137-AP137,MAX(0,'Start Here'!$B$10-SUM($AJ137:$AS137)-SUMPRODUCT(($Z$3:$AI$3&lt;AF$3)*($Z137:$AI137-$AJ137:$AS137))))</f>
        <v>0</v>
      </c>
      <c r="M137" s="42" t="n">
        <f aca="false">AQ137+MIN(AG137-AQ137,MAX(0,'Start Here'!$B$10-SUM($AJ137:$AS137)-SUMPRODUCT(($Z$3:$AI$3&lt;AG$3)*($Z137:$AI137-$AJ137:$AS137))))</f>
        <v>0</v>
      </c>
      <c r="N137" s="42" t="n">
        <f aca="false">AR137+MIN(AH137-AR137,MAX(0,'Start Here'!$B$10-SUM($AJ137:$AS137)-SUMPRODUCT(($Z$3:$AI$3&lt;AH$3)*($Z137:$AI137-$AJ137:$AS137))))</f>
        <v>0</v>
      </c>
      <c r="O137" s="42" t="n">
        <f aca="false">AS137+MIN(AI137-AS137,MAX(0,'Start Here'!$B$10-SUM($AJ137:$AS137)-SUMPRODUCT(($Z$3:$AI$3&lt;AI$3)*($Z137:$AI137-$AJ137:$AS137))))</f>
        <v>0</v>
      </c>
      <c r="P137" s="42" t="n">
        <f aca="false">ROUND(Z137-F137,2)</f>
        <v>0</v>
      </c>
      <c r="Q137" s="42" t="n">
        <f aca="false">ROUND(AA137-G137,2)</f>
        <v>0</v>
      </c>
      <c r="R137" s="42" t="n">
        <f aca="false">ROUND(AB137-H137,2)</f>
        <v>0</v>
      </c>
      <c r="S137" s="42" t="n">
        <f aca="false">ROUND(AC137-I137,2)</f>
        <v>0</v>
      </c>
      <c r="T137" s="42" t="n">
        <f aca="false">ROUND(AD137-J137,2)</f>
        <v>0</v>
      </c>
      <c r="U137" s="42" t="n">
        <f aca="false">ROUND(AE137-K137,2)</f>
        <v>0</v>
      </c>
      <c r="V137" s="42" t="n">
        <f aca="false">ROUND(AF137-L137,2)</f>
        <v>0</v>
      </c>
      <c r="W137" s="42" t="n">
        <f aca="false">ROUND(AG137-M137,2)</f>
        <v>0</v>
      </c>
      <c r="X137" s="42" t="n">
        <f aca="false">ROUND(AH137-N137,2)</f>
        <v>0</v>
      </c>
      <c r="Y137" s="42" t="n">
        <f aca="false">ROUND(AI137-O137,2)</f>
        <v>0</v>
      </c>
      <c r="Z137" s="56" t="n">
        <f aca="false">ROUND(P136*(1+N(Debts!$D$5)/12),2)</f>
        <v>0</v>
      </c>
      <c r="AA137" s="56" t="n">
        <f aca="false">ROUND(Q136*(1+N(Debts!$D$6)/12),2)</f>
        <v>0</v>
      </c>
      <c r="AB137" s="56" t="n">
        <f aca="false">ROUND(R136*(1+N(Debts!$D$7)/12),2)</f>
        <v>0</v>
      </c>
      <c r="AC137" s="56" t="n">
        <f aca="false">ROUND(S136*(1+N(Debts!$D$8)/12),2)</f>
        <v>0</v>
      </c>
      <c r="AD137" s="56" t="n">
        <f aca="false">ROUND(T136*(1+N(Debts!$D$9)/12),2)</f>
        <v>0</v>
      </c>
      <c r="AE137" s="56" t="n">
        <f aca="false">ROUND(U136*(1+N(Debts!$D$10)/12),2)</f>
        <v>0</v>
      </c>
      <c r="AF137" s="56" t="n">
        <f aca="false">ROUND(V136*(1+N(Debts!$D$11)/12),2)</f>
        <v>0</v>
      </c>
      <c r="AG137" s="56" t="n">
        <f aca="false">ROUND(W136*(1+N(Debts!$D$12)/12),2)</f>
        <v>0</v>
      </c>
      <c r="AH137" s="56" t="n">
        <f aca="false">ROUND(X136*(1+N(Debts!$D$13)/12),2)</f>
        <v>0</v>
      </c>
      <c r="AI137" s="56" t="n">
        <f aca="false">ROUND(Y136*(1+N(Debts!$D$14)/12),2)</f>
        <v>0</v>
      </c>
      <c r="AJ137" s="56" t="n">
        <f aca="false">MIN(Z137,MAX(0,N(Debts!$E$5)))</f>
        <v>0</v>
      </c>
      <c r="AK137" s="56" t="n">
        <f aca="false">MIN(AA137,MAX(0,N(Debts!$E$6)))</f>
        <v>0</v>
      </c>
      <c r="AL137" s="56" t="n">
        <f aca="false">MIN(AB137,MAX(0,N(Debts!$E$7)))</f>
        <v>0</v>
      </c>
      <c r="AM137" s="56" t="n">
        <f aca="false">MIN(AC137,MAX(0,N(Debts!$E$8)))</f>
        <v>0</v>
      </c>
      <c r="AN137" s="56" t="n">
        <f aca="false">MIN(AD137,MAX(0,N(Debts!$E$9)))</f>
        <v>0</v>
      </c>
      <c r="AO137" s="56" t="n">
        <f aca="false">MIN(AE137,MAX(0,N(Debts!$E$10)))</f>
        <v>0</v>
      </c>
      <c r="AP137" s="56" t="n">
        <f aca="false">MIN(AF137,MAX(0,N(Debts!$E$11)))</f>
        <v>0</v>
      </c>
      <c r="AQ137" s="56" t="n">
        <f aca="false">MIN(AG137,MAX(0,N(Debts!$E$12)))</f>
        <v>0</v>
      </c>
      <c r="AR137" s="56" t="n">
        <f aca="false">MIN(AH137,MAX(0,N(Debts!$E$13)))</f>
        <v>0</v>
      </c>
      <c r="AS137" s="56" t="n">
        <f aca="false">MIN(AI137,MAX(0,N(Debts!$E$14)))</f>
        <v>0</v>
      </c>
    </row>
    <row r="138" customFormat="false" ht="15" hidden="false" customHeight="false" outlineLevel="0" collapsed="false">
      <c r="A138" s="53" t="n">
        <v>134</v>
      </c>
      <c r="B138" s="54" t="n">
        <f aca="false">EDATE('Start Here'!$B$8,133)</f>
        <v>50375</v>
      </c>
      <c r="C138" s="42" t="n">
        <f aca="false">SUM(F138:O138)</f>
        <v>0</v>
      </c>
      <c r="D138" s="42" t="n">
        <f aca="false">ROUND(SUM($Z138:$AI138)-SUM(P137:Y137),2)</f>
        <v>0</v>
      </c>
      <c r="E138" s="55" t="n">
        <f aca="false">SUM(P138:Y138)</f>
        <v>0</v>
      </c>
      <c r="F138" s="42" t="n">
        <f aca="false">AJ138+MIN(Z138-AJ138,MAX(0,'Start Here'!$B$10-SUM($AJ138:$AS138)-SUMPRODUCT(($Z$3:$AI$3&lt;Z$3)*($Z138:$AI138-$AJ138:$AS138))))</f>
        <v>0</v>
      </c>
      <c r="G138" s="42" t="n">
        <f aca="false">AK138+MIN(AA138-AK138,MAX(0,'Start Here'!$B$10-SUM($AJ138:$AS138)-SUMPRODUCT(($Z$3:$AI$3&lt;AA$3)*($Z138:$AI138-$AJ138:$AS138))))</f>
        <v>0</v>
      </c>
      <c r="H138" s="42" t="n">
        <f aca="false">AL138+MIN(AB138-AL138,MAX(0,'Start Here'!$B$10-SUM($AJ138:$AS138)-SUMPRODUCT(($Z$3:$AI$3&lt;AB$3)*($Z138:$AI138-$AJ138:$AS138))))</f>
        <v>0</v>
      </c>
      <c r="I138" s="42" t="n">
        <f aca="false">AM138+MIN(AC138-AM138,MAX(0,'Start Here'!$B$10-SUM($AJ138:$AS138)-SUMPRODUCT(($Z$3:$AI$3&lt;AC$3)*($Z138:$AI138-$AJ138:$AS138))))</f>
        <v>0</v>
      </c>
      <c r="J138" s="42" t="n">
        <f aca="false">AN138+MIN(AD138-AN138,MAX(0,'Start Here'!$B$10-SUM($AJ138:$AS138)-SUMPRODUCT(($Z$3:$AI$3&lt;AD$3)*($Z138:$AI138-$AJ138:$AS138))))</f>
        <v>0</v>
      </c>
      <c r="K138" s="42" t="n">
        <f aca="false">AO138+MIN(AE138-AO138,MAX(0,'Start Here'!$B$10-SUM($AJ138:$AS138)-SUMPRODUCT(($Z$3:$AI$3&lt;AE$3)*($Z138:$AI138-$AJ138:$AS138))))</f>
        <v>0</v>
      </c>
      <c r="L138" s="42" t="n">
        <f aca="false">AP138+MIN(AF138-AP138,MAX(0,'Start Here'!$B$10-SUM($AJ138:$AS138)-SUMPRODUCT(($Z$3:$AI$3&lt;AF$3)*($Z138:$AI138-$AJ138:$AS138))))</f>
        <v>0</v>
      </c>
      <c r="M138" s="42" t="n">
        <f aca="false">AQ138+MIN(AG138-AQ138,MAX(0,'Start Here'!$B$10-SUM($AJ138:$AS138)-SUMPRODUCT(($Z$3:$AI$3&lt;AG$3)*($Z138:$AI138-$AJ138:$AS138))))</f>
        <v>0</v>
      </c>
      <c r="N138" s="42" t="n">
        <f aca="false">AR138+MIN(AH138-AR138,MAX(0,'Start Here'!$B$10-SUM($AJ138:$AS138)-SUMPRODUCT(($Z$3:$AI$3&lt;AH$3)*($Z138:$AI138-$AJ138:$AS138))))</f>
        <v>0</v>
      </c>
      <c r="O138" s="42" t="n">
        <f aca="false">AS138+MIN(AI138-AS138,MAX(0,'Start Here'!$B$10-SUM($AJ138:$AS138)-SUMPRODUCT(($Z$3:$AI$3&lt;AI$3)*($Z138:$AI138-$AJ138:$AS138))))</f>
        <v>0</v>
      </c>
      <c r="P138" s="42" t="n">
        <f aca="false">ROUND(Z138-F138,2)</f>
        <v>0</v>
      </c>
      <c r="Q138" s="42" t="n">
        <f aca="false">ROUND(AA138-G138,2)</f>
        <v>0</v>
      </c>
      <c r="R138" s="42" t="n">
        <f aca="false">ROUND(AB138-H138,2)</f>
        <v>0</v>
      </c>
      <c r="S138" s="42" t="n">
        <f aca="false">ROUND(AC138-I138,2)</f>
        <v>0</v>
      </c>
      <c r="T138" s="42" t="n">
        <f aca="false">ROUND(AD138-J138,2)</f>
        <v>0</v>
      </c>
      <c r="U138" s="42" t="n">
        <f aca="false">ROUND(AE138-K138,2)</f>
        <v>0</v>
      </c>
      <c r="V138" s="42" t="n">
        <f aca="false">ROUND(AF138-L138,2)</f>
        <v>0</v>
      </c>
      <c r="W138" s="42" t="n">
        <f aca="false">ROUND(AG138-M138,2)</f>
        <v>0</v>
      </c>
      <c r="X138" s="42" t="n">
        <f aca="false">ROUND(AH138-N138,2)</f>
        <v>0</v>
      </c>
      <c r="Y138" s="42" t="n">
        <f aca="false">ROUND(AI138-O138,2)</f>
        <v>0</v>
      </c>
      <c r="Z138" s="56" t="n">
        <f aca="false">ROUND(P137*(1+N(Debts!$D$5)/12),2)</f>
        <v>0</v>
      </c>
      <c r="AA138" s="56" t="n">
        <f aca="false">ROUND(Q137*(1+N(Debts!$D$6)/12),2)</f>
        <v>0</v>
      </c>
      <c r="AB138" s="56" t="n">
        <f aca="false">ROUND(R137*(1+N(Debts!$D$7)/12),2)</f>
        <v>0</v>
      </c>
      <c r="AC138" s="56" t="n">
        <f aca="false">ROUND(S137*(1+N(Debts!$D$8)/12),2)</f>
        <v>0</v>
      </c>
      <c r="AD138" s="56" t="n">
        <f aca="false">ROUND(T137*(1+N(Debts!$D$9)/12),2)</f>
        <v>0</v>
      </c>
      <c r="AE138" s="56" t="n">
        <f aca="false">ROUND(U137*(1+N(Debts!$D$10)/12),2)</f>
        <v>0</v>
      </c>
      <c r="AF138" s="56" t="n">
        <f aca="false">ROUND(V137*(1+N(Debts!$D$11)/12),2)</f>
        <v>0</v>
      </c>
      <c r="AG138" s="56" t="n">
        <f aca="false">ROUND(W137*(1+N(Debts!$D$12)/12),2)</f>
        <v>0</v>
      </c>
      <c r="AH138" s="56" t="n">
        <f aca="false">ROUND(X137*(1+N(Debts!$D$13)/12),2)</f>
        <v>0</v>
      </c>
      <c r="AI138" s="56" t="n">
        <f aca="false">ROUND(Y137*(1+N(Debts!$D$14)/12),2)</f>
        <v>0</v>
      </c>
      <c r="AJ138" s="56" t="n">
        <f aca="false">MIN(Z138,MAX(0,N(Debts!$E$5)))</f>
        <v>0</v>
      </c>
      <c r="AK138" s="56" t="n">
        <f aca="false">MIN(AA138,MAX(0,N(Debts!$E$6)))</f>
        <v>0</v>
      </c>
      <c r="AL138" s="56" t="n">
        <f aca="false">MIN(AB138,MAX(0,N(Debts!$E$7)))</f>
        <v>0</v>
      </c>
      <c r="AM138" s="56" t="n">
        <f aca="false">MIN(AC138,MAX(0,N(Debts!$E$8)))</f>
        <v>0</v>
      </c>
      <c r="AN138" s="56" t="n">
        <f aca="false">MIN(AD138,MAX(0,N(Debts!$E$9)))</f>
        <v>0</v>
      </c>
      <c r="AO138" s="56" t="n">
        <f aca="false">MIN(AE138,MAX(0,N(Debts!$E$10)))</f>
        <v>0</v>
      </c>
      <c r="AP138" s="56" t="n">
        <f aca="false">MIN(AF138,MAX(0,N(Debts!$E$11)))</f>
        <v>0</v>
      </c>
      <c r="AQ138" s="56" t="n">
        <f aca="false">MIN(AG138,MAX(0,N(Debts!$E$12)))</f>
        <v>0</v>
      </c>
      <c r="AR138" s="56" t="n">
        <f aca="false">MIN(AH138,MAX(0,N(Debts!$E$13)))</f>
        <v>0</v>
      </c>
      <c r="AS138" s="56" t="n">
        <f aca="false">MIN(AI138,MAX(0,N(Debts!$E$14)))</f>
        <v>0</v>
      </c>
    </row>
    <row r="139" customFormat="false" ht="15" hidden="false" customHeight="false" outlineLevel="0" collapsed="false">
      <c r="A139" s="53" t="n">
        <v>135</v>
      </c>
      <c r="B139" s="54" t="n">
        <f aca="false">EDATE('Start Here'!$B$8,134)</f>
        <v>50406</v>
      </c>
      <c r="C139" s="42" t="n">
        <f aca="false">SUM(F139:O139)</f>
        <v>0</v>
      </c>
      <c r="D139" s="42" t="n">
        <f aca="false">ROUND(SUM($Z139:$AI139)-SUM(P138:Y138),2)</f>
        <v>0</v>
      </c>
      <c r="E139" s="55" t="n">
        <f aca="false">SUM(P139:Y139)</f>
        <v>0</v>
      </c>
      <c r="F139" s="42" t="n">
        <f aca="false">AJ139+MIN(Z139-AJ139,MAX(0,'Start Here'!$B$10-SUM($AJ139:$AS139)-SUMPRODUCT(($Z$3:$AI$3&lt;Z$3)*($Z139:$AI139-$AJ139:$AS139))))</f>
        <v>0</v>
      </c>
      <c r="G139" s="42" t="n">
        <f aca="false">AK139+MIN(AA139-AK139,MAX(0,'Start Here'!$B$10-SUM($AJ139:$AS139)-SUMPRODUCT(($Z$3:$AI$3&lt;AA$3)*($Z139:$AI139-$AJ139:$AS139))))</f>
        <v>0</v>
      </c>
      <c r="H139" s="42" t="n">
        <f aca="false">AL139+MIN(AB139-AL139,MAX(0,'Start Here'!$B$10-SUM($AJ139:$AS139)-SUMPRODUCT(($Z$3:$AI$3&lt;AB$3)*($Z139:$AI139-$AJ139:$AS139))))</f>
        <v>0</v>
      </c>
      <c r="I139" s="42" t="n">
        <f aca="false">AM139+MIN(AC139-AM139,MAX(0,'Start Here'!$B$10-SUM($AJ139:$AS139)-SUMPRODUCT(($Z$3:$AI$3&lt;AC$3)*($Z139:$AI139-$AJ139:$AS139))))</f>
        <v>0</v>
      </c>
      <c r="J139" s="42" t="n">
        <f aca="false">AN139+MIN(AD139-AN139,MAX(0,'Start Here'!$B$10-SUM($AJ139:$AS139)-SUMPRODUCT(($Z$3:$AI$3&lt;AD$3)*($Z139:$AI139-$AJ139:$AS139))))</f>
        <v>0</v>
      </c>
      <c r="K139" s="42" t="n">
        <f aca="false">AO139+MIN(AE139-AO139,MAX(0,'Start Here'!$B$10-SUM($AJ139:$AS139)-SUMPRODUCT(($Z$3:$AI$3&lt;AE$3)*($Z139:$AI139-$AJ139:$AS139))))</f>
        <v>0</v>
      </c>
      <c r="L139" s="42" t="n">
        <f aca="false">AP139+MIN(AF139-AP139,MAX(0,'Start Here'!$B$10-SUM($AJ139:$AS139)-SUMPRODUCT(($Z$3:$AI$3&lt;AF$3)*($Z139:$AI139-$AJ139:$AS139))))</f>
        <v>0</v>
      </c>
      <c r="M139" s="42" t="n">
        <f aca="false">AQ139+MIN(AG139-AQ139,MAX(0,'Start Here'!$B$10-SUM($AJ139:$AS139)-SUMPRODUCT(($Z$3:$AI$3&lt;AG$3)*($Z139:$AI139-$AJ139:$AS139))))</f>
        <v>0</v>
      </c>
      <c r="N139" s="42" t="n">
        <f aca="false">AR139+MIN(AH139-AR139,MAX(0,'Start Here'!$B$10-SUM($AJ139:$AS139)-SUMPRODUCT(($Z$3:$AI$3&lt;AH$3)*($Z139:$AI139-$AJ139:$AS139))))</f>
        <v>0</v>
      </c>
      <c r="O139" s="42" t="n">
        <f aca="false">AS139+MIN(AI139-AS139,MAX(0,'Start Here'!$B$10-SUM($AJ139:$AS139)-SUMPRODUCT(($Z$3:$AI$3&lt;AI$3)*($Z139:$AI139-$AJ139:$AS139))))</f>
        <v>0</v>
      </c>
      <c r="P139" s="42" t="n">
        <f aca="false">ROUND(Z139-F139,2)</f>
        <v>0</v>
      </c>
      <c r="Q139" s="42" t="n">
        <f aca="false">ROUND(AA139-G139,2)</f>
        <v>0</v>
      </c>
      <c r="R139" s="42" t="n">
        <f aca="false">ROUND(AB139-H139,2)</f>
        <v>0</v>
      </c>
      <c r="S139" s="42" t="n">
        <f aca="false">ROUND(AC139-I139,2)</f>
        <v>0</v>
      </c>
      <c r="T139" s="42" t="n">
        <f aca="false">ROUND(AD139-J139,2)</f>
        <v>0</v>
      </c>
      <c r="U139" s="42" t="n">
        <f aca="false">ROUND(AE139-K139,2)</f>
        <v>0</v>
      </c>
      <c r="V139" s="42" t="n">
        <f aca="false">ROUND(AF139-L139,2)</f>
        <v>0</v>
      </c>
      <c r="W139" s="42" t="n">
        <f aca="false">ROUND(AG139-M139,2)</f>
        <v>0</v>
      </c>
      <c r="X139" s="42" t="n">
        <f aca="false">ROUND(AH139-N139,2)</f>
        <v>0</v>
      </c>
      <c r="Y139" s="42" t="n">
        <f aca="false">ROUND(AI139-O139,2)</f>
        <v>0</v>
      </c>
      <c r="Z139" s="56" t="n">
        <f aca="false">ROUND(P138*(1+N(Debts!$D$5)/12),2)</f>
        <v>0</v>
      </c>
      <c r="AA139" s="56" t="n">
        <f aca="false">ROUND(Q138*(1+N(Debts!$D$6)/12),2)</f>
        <v>0</v>
      </c>
      <c r="AB139" s="56" t="n">
        <f aca="false">ROUND(R138*(1+N(Debts!$D$7)/12),2)</f>
        <v>0</v>
      </c>
      <c r="AC139" s="56" t="n">
        <f aca="false">ROUND(S138*(1+N(Debts!$D$8)/12),2)</f>
        <v>0</v>
      </c>
      <c r="AD139" s="56" t="n">
        <f aca="false">ROUND(T138*(1+N(Debts!$D$9)/12),2)</f>
        <v>0</v>
      </c>
      <c r="AE139" s="56" t="n">
        <f aca="false">ROUND(U138*(1+N(Debts!$D$10)/12),2)</f>
        <v>0</v>
      </c>
      <c r="AF139" s="56" t="n">
        <f aca="false">ROUND(V138*(1+N(Debts!$D$11)/12),2)</f>
        <v>0</v>
      </c>
      <c r="AG139" s="56" t="n">
        <f aca="false">ROUND(W138*(1+N(Debts!$D$12)/12),2)</f>
        <v>0</v>
      </c>
      <c r="AH139" s="56" t="n">
        <f aca="false">ROUND(X138*(1+N(Debts!$D$13)/12),2)</f>
        <v>0</v>
      </c>
      <c r="AI139" s="56" t="n">
        <f aca="false">ROUND(Y138*(1+N(Debts!$D$14)/12),2)</f>
        <v>0</v>
      </c>
      <c r="AJ139" s="56" t="n">
        <f aca="false">MIN(Z139,MAX(0,N(Debts!$E$5)))</f>
        <v>0</v>
      </c>
      <c r="AK139" s="56" t="n">
        <f aca="false">MIN(AA139,MAX(0,N(Debts!$E$6)))</f>
        <v>0</v>
      </c>
      <c r="AL139" s="56" t="n">
        <f aca="false">MIN(AB139,MAX(0,N(Debts!$E$7)))</f>
        <v>0</v>
      </c>
      <c r="AM139" s="56" t="n">
        <f aca="false">MIN(AC139,MAX(0,N(Debts!$E$8)))</f>
        <v>0</v>
      </c>
      <c r="AN139" s="56" t="n">
        <f aca="false">MIN(AD139,MAX(0,N(Debts!$E$9)))</f>
        <v>0</v>
      </c>
      <c r="AO139" s="56" t="n">
        <f aca="false">MIN(AE139,MAX(0,N(Debts!$E$10)))</f>
        <v>0</v>
      </c>
      <c r="AP139" s="56" t="n">
        <f aca="false">MIN(AF139,MAX(0,N(Debts!$E$11)))</f>
        <v>0</v>
      </c>
      <c r="AQ139" s="56" t="n">
        <f aca="false">MIN(AG139,MAX(0,N(Debts!$E$12)))</f>
        <v>0</v>
      </c>
      <c r="AR139" s="56" t="n">
        <f aca="false">MIN(AH139,MAX(0,N(Debts!$E$13)))</f>
        <v>0</v>
      </c>
      <c r="AS139" s="56" t="n">
        <f aca="false">MIN(AI139,MAX(0,N(Debts!$E$14)))</f>
        <v>0</v>
      </c>
    </row>
    <row r="140" customFormat="false" ht="15" hidden="false" customHeight="false" outlineLevel="0" collapsed="false">
      <c r="A140" s="53" t="n">
        <v>136</v>
      </c>
      <c r="B140" s="54" t="n">
        <f aca="false">EDATE('Start Here'!$B$8,135)</f>
        <v>50437</v>
      </c>
      <c r="C140" s="42" t="n">
        <f aca="false">SUM(F140:O140)</f>
        <v>0</v>
      </c>
      <c r="D140" s="42" t="n">
        <f aca="false">ROUND(SUM($Z140:$AI140)-SUM(P139:Y139),2)</f>
        <v>0</v>
      </c>
      <c r="E140" s="55" t="n">
        <f aca="false">SUM(P140:Y140)</f>
        <v>0</v>
      </c>
      <c r="F140" s="42" t="n">
        <f aca="false">AJ140+MIN(Z140-AJ140,MAX(0,'Start Here'!$B$10-SUM($AJ140:$AS140)-SUMPRODUCT(($Z$3:$AI$3&lt;Z$3)*($Z140:$AI140-$AJ140:$AS140))))</f>
        <v>0</v>
      </c>
      <c r="G140" s="42" t="n">
        <f aca="false">AK140+MIN(AA140-AK140,MAX(0,'Start Here'!$B$10-SUM($AJ140:$AS140)-SUMPRODUCT(($Z$3:$AI$3&lt;AA$3)*($Z140:$AI140-$AJ140:$AS140))))</f>
        <v>0</v>
      </c>
      <c r="H140" s="42" t="n">
        <f aca="false">AL140+MIN(AB140-AL140,MAX(0,'Start Here'!$B$10-SUM($AJ140:$AS140)-SUMPRODUCT(($Z$3:$AI$3&lt;AB$3)*($Z140:$AI140-$AJ140:$AS140))))</f>
        <v>0</v>
      </c>
      <c r="I140" s="42" t="n">
        <f aca="false">AM140+MIN(AC140-AM140,MAX(0,'Start Here'!$B$10-SUM($AJ140:$AS140)-SUMPRODUCT(($Z$3:$AI$3&lt;AC$3)*($Z140:$AI140-$AJ140:$AS140))))</f>
        <v>0</v>
      </c>
      <c r="J140" s="42" t="n">
        <f aca="false">AN140+MIN(AD140-AN140,MAX(0,'Start Here'!$B$10-SUM($AJ140:$AS140)-SUMPRODUCT(($Z$3:$AI$3&lt;AD$3)*($Z140:$AI140-$AJ140:$AS140))))</f>
        <v>0</v>
      </c>
      <c r="K140" s="42" t="n">
        <f aca="false">AO140+MIN(AE140-AO140,MAX(0,'Start Here'!$B$10-SUM($AJ140:$AS140)-SUMPRODUCT(($Z$3:$AI$3&lt;AE$3)*($Z140:$AI140-$AJ140:$AS140))))</f>
        <v>0</v>
      </c>
      <c r="L140" s="42" t="n">
        <f aca="false">AP140+MIN(AF140-AP140,MAX(0,'Start Here'!$B$10-SUM($AJ140:$AS140)-SUMPRODUCT(($Z$3:$AI$3&lt;AF$3)*($Z140:$AI140-$AJ140:$AS140))))</f>
        <v>0</v>
      </c>
      <c r="M140" s="42" t="n">
        <f aca="false">AQ140+MIN(AG140-AQ140,MAX(0,'Start Here'!$B$10-SUM($AJ140:$AS140)-SUMPRODUCT(($Z$3:$AI$3&lt;AG$3)*($Z140:$AI140-$AJ140:$AS140))))</f>
        <v>0</v>
      </c>
      <c r="N140" s="42" t="n">
        <f aca="false">AR140+MIN(AH140-AR140,MAX(0,'Start Here'!$B$10-SUM($AJ140:$AS140)-SUMPRODUCT(($Z$3:$AI$3&lt;AH$3)*($Z140:$AI140-$AJ140:$AS140))))</f>
        <v>0</v>
      </c>
      <c r="O140" s="42" t="n">
        <f aca="false">AS140+MIN(AI140-AS140,MAX(0,'Start Here'!$B$10-SUM($AJ140:$AS140)-SUMPRODUCT(($Z$3:$AI$3&lt;AI$3)*($Z140:$AI140-$AJ140:$AS140))))</f>
        <v>0</v>
      </c>
      <c r="P140" s="42" t="n">
        <f aca="false">ROUND(Z140-F140,2)</f>
        <v>0</v>
      </c>
      <c r="Q140" s="42" t="n">
        <f aca="false">ROUND(AA140-G140,2)</f>
        <v>0</v>
      </c>
      <c r="R140" s="42" t="n">
        <f aca="false">ROUND(AB140-H140,2)</f>
        <v>0</v>
      </c>
      <c r="S140" s="42" t="n">
        <f aca="false">ROUND(AC140-I140,2)</f>
        <v>0</v>
      </c>
      <c r="T140" s="42" t="n">
        <f aca="false">ROUND(AD140-J140,2)</f>
        <v>0</v>
      </c>
      <c r="U140" s="42" t="n">
        <f aca="false">ROUND(AE140-K140,2)</f>
        <v>0</v>
      </c>
      <c r="V140" s="42" t="n">
        <f aca="false">ROUND(AF140-L140,2)</f>
        <v>0</v>
      </c>
      <c r="W140" s="42" t="n">
        <f aca="false">ROUND(AG140-M140,2)</f>
        <v>0</v>
      </c>
      <c r="X140" s="42" t="n">
        <f aca="false">ROUND(AH140-N140,2)</f>
        <v>0</v>
      </c>
      <c r="Y140" s="42" t="n">
        <f aca="false">ROUND(AI140-O140,2)</f>
        <v>0</v>
      </c>
      <c r="Z140" s="56" t="n">
        <f aca="false">ROUND(P139*(1+N(Debts!$D$5)/12),2)</f>
        <v>0</v>
      </c>
      <c r="AA140" s="56" t="n">
        <f aca="false">ROUND(Q139*(1+N(Debts!$D$6)/12),2)</f>
        <v>0</v>
      </c>
      <c r="AB140" s="56" t="n">
        <f aca="false">ROUND(R139*(1+N(Debts!$D$7)/12),2)</f>
        <v>0</v>
      </c>
      <c r="AC140" s="56" t="n">
        <f aca="false">ROUND(S139*(1+N(Debts!$D$8)/12),2)</f>
        <v>0</v>
      </c>
      <c r="AD140" s="56" t="n">
        <f aca="false">ROUND(T139*(1+N(Debts!$D$9)/12),2)</f>
        <v>0</v>
      </c>
      <c r="AE140" s="56" t="n">
        <f aca="false">ROUND(U139*(1+N(Debts!$D$10)/12),2)</f>
        <v>0</v>
      </c>
      <c r="AF140" s="56" t="n">
        <f aca="false">ROUND(V139*(1+N(Debts!$D$11)/12),2)</f>
        <v>0</v>
      </c>
      <c r="AG140" s="56" t="n">
        <f aca="false">ROUND(W139*(1+N(Debts!$D$12)/12),2)</f>
        <v>0</v>
      </c>
      <c r="AH140" s="56" t="n">
        <f aca="false">ROUND(X139*(1+N(Debts!$D$13)/12),2)</f>
        <v>0</v>
      </c>
      <c r="AI140" s="56" t="n">
        <f aca="false">ROUND(Y139*(1+N(Debts!$D$14)/12),2)</f>
        <v>0</v>
      </c>
      <c r="AJ140" s="56" t="n">
        <f aca="false">MIN(Z140,MAX(0,N(Debts!$E$5)))</f>
        <v>0</v>
      </c>
      <c r="AK140" s="56" t="n">
        <f aca="false">MIN(AA140,MAX(0,N(Debts!$E$6)))</f>
        <v>0</v>
      </c>
      <c r="AL140" s="56" t="n">
        <f aca="false">MIN(AB140,MAX(0,N(Debts!$E$7)))</f>
        <v>0</v>
      </c>
      <c r="AM140" s="56" t="n">
        <f aca="false">MIN(AC140,MAX(0,N(Debts!$E$8)))</f>
        <v>0</v>
      </c>
      <c r="AN140" s="56" t="n">
        <f aca="false">MIN(AD140,MAX(0,N(Debts!$E$9)))</f>
        <v>0</v>
      </c>
      <c r="AO140" s="56" t="n">
        <f aca="false">MIN(AE140,MAX(0,N(Debts!$E$10)))</f>
        <v>0</v>
      </c>
      <c r="AP140" s="56" t="n">
        <f aca="false">MIN(AF140,MAX(0,N(Debts!$E$11)))</f>
        <v>0</v>
      </c>
      <c r="AQ140" s="56" t="n">
        <f aca="false">MIN(AG140,MAX(0,N(Debts!$E$12)))</f>
        <v>0</v>
      </c>
      <c r="AR140" s="56" t="n">
        <f aca="false">MIN(AH140,MAX(0,N(Debts!$E$13)))</f>
        <v>0</v>
      </c>
      <c r="AS140" s="56" t="n">
        <f aca="false">MIN(AI140,MAX(0,N(Debts!$E$14)))</f>
        <v>0</v>
      </c>
    </row>
    <row r="141" customFormat="false" ht="15" hidden="false" customHeight="false" outlineLevel="0" collapsed="false">
      <c r="A141" s="53" t="n">
        <v>137</v>
      </c>
      <c r="B141" s="54" t="n">
        <f aca="false">EDATE('Start Here'!$B$8,136)</f>
        <v>50465</v>
      </c>
      <c r="C141" s="42" t="n">
        <f aca="false">SUM(F141:O141)</f>
        <v>0</v>
      </c>
      <c r="D141" s="42" t="n">
        <f aca="false">ROUND(SUM($Z141:$AI141)-SUM(P140:Y140),2)</f>
        <v>0</v>
      </c>
      <c r="E141" s="55" t="n">
        <f aca="false">SUM(P141:Y141)</f>
        <v>0</v>
      </c>
      <c r="F141" s="42" t="n">
        <f aca="false">AJ141+MIN(Z141-AJ141,MAX(0,'Start Here'!$B$10-SUM($AJ141:$AS141)-SUMPRODUCT(($Z$3:$AI$3&lt;Z$3)*($Z141:$AI141-$AJ141:$AS141))))</f>
        <v>0</v>
      </c>
      <c r="G141" s="42" t="n">
        <f aca="false">AK141+MIN(AA141-AK141,MAX(0,'Start Here'!$B$10-SUM($AJ141:$AS141)-SUMPRODUCT(($Z$3:$AI$3&lt;AA$3)*($Z141:$AI141-$AJ141:$AS141))))</f>
        <v>0</v>
      </c>
      <c r="H141" s="42" t="n">
        <f aca="false">AL141+MIN(AB141-AL141,MAX(0,'Start Here'!$B$10-SUM($AJ141:$AS141)-SUMPRODUCT(($Z$3:$AI$3&lt;AB$3)*($Z141:$AI141-$AJ141:$AS141))))</f>
        <v>0</v>
      </c>
      <c r="I141" s="42" t="n">
        <f aca="false">AM141+MIN(AC141-AM141,MAX(0,'Start Here'!$B$10-SUM($AJ141:$AS141)-SUMPRODUCT(($Z$3:$AI$3&lt;AC$3)*($Z141:$AI141-$AJ141:$AS141))))</f>
        <v>0</v>
      </c>
      <c r="J141" s="42" t="n">
        <f aca="false">AN141+MIN(AD141-AN141,MAX(0,'Start Here'!$B$10-SUM($AJ141:$AS141)-SUMPRODUCT(($Z$3:$AI$3&lt;AD$3)*($Z141:$AI141-$AJ141:$AS141))))</f>
        <v>0</v>
      </c>
      <c r="K141" s="42" t="n">
        <f aca="false">AO141+MIN(AE141-AO141,MAX(0,'Start Here'!$B$10-SUM($AJ141:$AS141)-SUMPRODUCT(($Z$3:$AI$3&lt;AE$3)*($Z141:$AI141-$AJ141:$AS141))))</f>
        <v>0</v>
      </c>
      <c r="L141" s="42" t="n">
        <f aca="false">AP141+MIN(AF141-AP141,MAX(0,'Start Here'!$B$10-SUM($AJ141:$AS141)-SUMPRODUCT(($Z$3:$AI$3&lt;AF$3)*($Z141:$AI141-$AJ141:$AS141))))</f>
        <v>0</v>
      </c>
      <c r="M141" s="42" t="n">
        <f aca="false">AQ141+MIN(AG141-AQ141,MAX(0,'Start Here'!$B$10-SUM($AJ141:$AS141)-SUMPRODUCT(($Z$3:$AI$3&lt;AG$3)*($Z141:$AI141-$AJ141:$AS141))))</f>
        <v>0</v>
      </c>
      <c r="N141" s="42" t="n">
        <f aca="false">AR141+MIN(AH141-AR141,MAX(0,'Start Here'!$B$10-SUM($AJ141:$AS141)-SUMPRODUCT(($Z$3:$AI$3&lt;AH$3)*($Z141:$AI141-$AJ141:$AS141))))</f>
        <v>0</v>
      </c>
      <c r="O141" s="42" t="n">
        <f aca="false">AS141+MIN(AI141-AS141,MAX(0,'Start Here'!$B$10-SUM($AJ141:$AS141)-SUMPRODUCT(($Z$3:$AI$3&lt;AI$3)*($Z141:$AI141-$AJ141:$AS141))))</f>
        <v>0</v>
      </c>
      <c r="P141" s="42" t="n">
        <f aca="false">ROUND(Z141-F141,2)</f>
        <v>0</v>
      </c>
      <c r="Q141" s="42" t="n">
        <f aca="false">ROUND(AA141-G141,2)</f>
        <v>0</v>
      </c>
      <c r="R141" s="42" t="n">
        <f aca="false">ROUND(AB141-H141,2)</f>
        <v>0</v>
      </c>
      <c r="S141" s="42" t="n">
        <f aca="false">ROUND(AC141-I141,2)</f>
        <v>0</v>
      </c>
      <c r="T141" s="42" t="n">
        <f aca="false">ROUND(AD141-J141,2)</f>
        <v>0</v>
      </c>
      <c r="U141" s="42" t="n">
        <f aca="false">ROUND(AE141-K141,2)</f>
        <v>0</v>
      </c>
      <c r="V141" s="42" t="n">
        <f aca="false">ROUND(AF141-L141,2)</f>
        <v>0</v>
      </c>
      <c r="W141" s="42" t="n">
        <f aca="false">ROUND(AG141-M141,2)</f>
        <v>0</v>
      </c>
      <c r="X141" s="42" t="n">
        <f aca="false">ROUND(AH141-N141,2)</f>
        <v>0</v>
      </c>
      <c r="Y141" s="42" t="n">
        <f aca="false">ROUND(AI141-O141,2)</f>
        <v>0</v>
      </c>
      <c r="Z141" s="56" t="n">
        <f aca="false">ROUND(P140*(1+N(Debts!$D$5)/12),2)</f>
        <v>0</v>
      </c>
      <c r="AA141" s="56" t="n">
        <f aca="false">ROUND(Q140*(1+N(Debts!$D$6)/12),2)</f>
        <v>0</v>
      </c>
      <c r="AB141" s="56" t="n">
        <f aca="false">ROUND(R140*(1+N(Debts!$D$7)/12),2)</f>
        <v>0</v>
      </c>
      <c r="AC141" s="56" t="n">
        <f aca="false">ROUND(S140*(1+N(Debts!$D$8)/12),2)</f>
        <v>0</v>
      </c>
      <c r="AD141" s="56" t="n">
        <f aca="false">ROUND(T140*(1+N(Debts!$D$9)/12),2)</f>
        <v>0</v>
      </c>
      <c r="AE141" s="56" t="n">
        <f aca="false">ROUND(U140*(1+N(Debts!$D$10)/12),2)</f>
        <v>0</v>
      </c>
      <c r="AF141" s="56" t="n">
        <f aca="false">ROUND(V140*(1+N(Debts!$D$11)/12),2)</f>
        <v>0</v>
      </c>
      <c r="AG141" s="56" t="n">
        <f aca="false">ROUND(W140*(1+N(Debts!$D$12)/12),2)</f>
        <v>0</v>
      </c>
      <c r="AH141" s="56" t="n">
        <f aca="false">ROUND(X140*(1+N(Debts!$D$13)/12),2)</f>
        <v>0</v>
      </c>
      <c r="AI141" s="56" t="n">
        <f aca="false">ROUND(Y140*(1+N(Debts!$D$14)/12),2)</f>
        <v>0</v>
      </c>
      <c r="AJ141" s="56" t="n">
        <f aca="false">MIN(Z141,MAX(0,N(Debts!$E$5)))</f>
        <v>0</v>
      </c>
      <c r="AK141" s="56" t="n">
        <f aca="false">MIN(AA141,MAX(0,N(Debts!$E$6)))</f>
        <v>0</v>
      </c>
      <c r="AL141" s="56" t="n">
        <f aca="false">MIN(AB141,MAX(0,N(Debts!$E$7)))</f>
        <v>0</v>
      </c>
      <c r="AM141" s="56" t="n">
        <f aca="false">MIN(AC141,MAX(0,N(Debts!$E$8)))</f>
        <v>0</v>
      </c>
      <c r="AN141" s="56" t="n">
        <f aca="false">MIN(AD141,MAX(0,N(Debts!$E$9)))</f>
        <v>0</v>
      </c>
      <c r="AO141" s="56" t="n">
        <f aca="false">MIN(AE141,MAX(0,N(Debts!$E$10)))</f>
        <v>0</v>
      </c>
      <c r="AP141" s="56" t="n">
        <f aca="false">MIN(AF141,MAX(0,N(Debts!$E$11)))</f>
        <v>0</v>
      </c>
      <c r="AQ141" s="56" t="n">
        <f aca="false">MIN(AG141,MAX(0,N(Debts!$E$12)))</f>
        <v>0</v>
      </c>
      <c r="AR141" s="56" t="n">
        <f aca="false">MIN(AH141,MAX(0,N(Debts!$E$13)))</f>
        <v>0</v>
      </c>
      <c r="AS141" s="56" t="n">
        <f aca="false">MIN(AI141,MAX(0,N(Debts!$E$14)))</f>
        <v>0</v>
      </c>
    </row>
    <row r="142" customFormat="false" ht="15" hidden="false" customHeight="false" outlineLevel="0" collapsed="false">
      <c r="A142" s="53" t="n">
        <v>138</v>
      </c>
      <c r="B142" s="54" t="n">
        <f aca="false">EDATE('Start Here'!$B$8,137)</f>
        <v>50496</v>
      </c>
      <c r="C142" s="42" t="n">
        <f aca="false">SUM(F142:O142)</f>
        <v>0</v>
      </c>
      <c r="D142" s="42" t="n">
        <f aca="false">ROUND(SUM($Z142:$AI142)-SUM(P141:Y141),2)</f>
        <v>0</v>
      </c>
      <c r="E142" s="55" t="n">
        <f aca="false">SUM(P142:Y142)</f>
        <v>0</v>
      </c>
      <c r="F142" s="42" t="n">
        <f aca="false">AJ142+MIN(Z142-AJ142,MAX(0,'Start Here'!$B$10-SUM($AJ142:$AS142)-SUMPRODUCT(($Z$3:$AI$3&lt;Z$3)*($Z142:$AI142-$AJ142:$AS142))))</f>
        <v>0</v>
      </c>
      <c r="G142" s="42" t="n">
        <f aca="false">AK142+MIN(AA142-AK142,MAX(0,'Start Here'!$B$10-SUM($AJ142:$AS142)-SUMPRODUCT(($Z$3:$AI$3&lt;AA$3)*($Z142:$AI142-$AJ142:$AS142))))</f>
        <v>0</v>
      </c>
      <c r="H142" s="42" t="n">
        <f aca="false">AL142+MIN(AB142-AL142,MAX(0,'Start Here'!$B$10-SUM($AJ142:$AS142)-SUMPRODUCT(($Z$3:$AI$3&lt;AB$3)*($Z142:$AI142-$AJ142:$AS142))))</f>
        <v>0</v>
      </c>
      <c r="I142" s="42" t="n">
        <f aca="false">AM142+MIN(AC142-AM142,MAX(0,'Start Here'!$B$10-SUM($AJ142:$AS142)-SUMPRODUCT(($Z$3:$AI$3&lt;AC$3)*($Z142:$AI142-$AJ142:$AS142))))</f>
        <v>0</v>
      </c>
      <c r="J142" s="42" t="n">
        <f aca="false">AN142+MIN(AD142-AN142,MAX(0,'Start Here'!$B$10-SUM($AJ142:$AS142)-SUMPRODUCT(($Z$3:$AI$3&lt;AD$3)*($Z142:$AI142-$AJ142:$AS142))))</f>
        <v>0</v>
      </c>
      <c r="K142" s="42" t="n">
        <f aca="false">AO142+MIN(AE142-AO142,MAX(0,'Start Here'!$B$10-SUM($AJ142:$AS142)-SUMPRODUCT(($Z$3:$AI$3&lt;AE$3)*($Z142:$AI142-$AJ142:$AS142))))</f>
        <v>0</v>
      </c>
      <c r="L142" s="42" t="n">
        <f aca="false">AP142+MIN(AF142-AP142,MAX(0,'Start Here'!$B$10-SUM($AJ142:$AS142)-SUMPRODUCT(($Z$3:$AI$3&lt;AF$3)*($Z142:$AI142-$AJ142:$AS142))))</f>
        <v>0</v>
      </c>
      <c r="M142" s="42" t="n">
        <f aca="false">AQ142+MIN(AG142-AQ142,MAX(0,'Start Here'!$B$10-SUM($AJ142:$AS142)-SUMPRODUCT(($Z$3:$AI$3&lt;AG$3)*($Z142:$AI142-$AJ142:$AS142))))</f>
        <v>0</v>
      </c>
      <c r="N142" s="42" t="n">
        <f aca="false">AR142+MIN(AH142-AR142,MAX(0,'Start Here'!$B$10-SUM($AJ142:$AS142)-SUMPRODUCT(($Z$3:$AI$3&lt;AH$3)*($Z142:$AI142-$AJ142:$AS142))))</f>
        <v>0</v>
      </c>
      <c r="O142" s="42" t="n">
        <f aca="false">AS142+MIN(AI142-AS142,MAX(0,'Start Here'!$B$10-SUM($AJ142:$AS142)-SUMPRODUCT(($Z$3:$AI$3&lt;AI$3)*($Z142:$AI142-$AJ142:$AS142))))</f>
        <v>0</v>
      </c>
      <c r="P142" s="42" t="n">
        <f aca="false">ROUND(Z142-F142,2)</f>
        <v>0</v>
      </c>
      <c r="Q142" s="42" t="n">
        <f aca="false">ROUND(AA142-G142,2)</f>
        <v>0</v>
      </c>
      <c r="R142" s="42" t="n">
        <f aca="false">ROUND(AB142-H142,2)</f>
        <v>0</v>
      </c>
      <c r="S142" s="42" t="n">
        <f aca="false">ROUND(AC142-I142,2)</f>
        <v>0</v>
      </c>
      <c r="T142" s="42" t="n">
        <f aca="false">ROUND(AD142-J142,2)</f>
        <v>0</v>
      </c>
      <c r="U142" s="42" t="n">
        <f aca="false">ROUND(AE142-K142,2)</f>
        <v>0</v>
      </c>
      <c r="V142" s="42" t="n">
        <f aca="false">ROUND(AF142-L142,2)</f>
        <v>0</v>
      </c>
      <c r="W142" s="42" t="n">
        <f aca="false">ROUND(AG142-M142,2)</f>
        <v>0</v>
      </c>
      <c r="X142" s="42" t="n">
        <f aca="false">ROUND(AH142-N142,2)</f>
        <v>0</v>
      </c>
      <c r="Y142" s="42" t="n">
        <f aca="false">ROUND(AI142-O142,2)</f>
        <v>0</v>
      </c>
      <c r="Z142" s="56" t="n">
        <f aca="false">ROUND(P141*(1+N(Debts!$D$5)/12),2)</f>
        <v>0</v>
      </c>
      <c r="AA142" s="56" t="n">
        <f aca="false">ROUND(Q141*(1+N(Debts!$D$6)/12),2)</f>
        <v>0</v>
      </c>
      <c r="AB142" s="56" t="n">
        <f aca="false">ROUND(R141*(1+N(Debts!$D$7)/12),2)</f>
        <v>0</v>
      </c>
      <c r="AC142" s="56" t="n">
        <f aca="false">ROUND(S141*(1+N(Debts!$D$8)/12),2)</f>
        <v>0</v>
      </c>
      <c r="AD142" s="56" t="n">
        <f aca="false">ROUND(T141*(1+N(Debts!$D$9)/12),2)</f>
        <v>0</v>
      </c>
      <c r="AE142" s="56" t="n">
        <f aca="false">ROUND(U141*(1+N(Debts!$D$10)/12),2)</f>
        <v>0</v>
      </c>
      <c r="AF142" s="56" t="n">
        <f aca="false">ROUND(V141*(1+N(Debts!$D$11)/12),2)</f>
        <v>0</v>
      </c>
      <c r="AG142" s="56" t="n">
        <f aca="false">ROUND(W141*(1+N(Debts!$D$12)/12),2)</f>
        <v>0</v>
      </c>
      <c r="AH142" s="56" t="n">
        <f aca="false">ROUND(X141*(1+N(Debts!$D$13)/12),2)</f>
        <v>0</v>
      </c>
      <c r="AI142" s="56" t="n">
        <f aca="false">ROUND(Y141*(1+N(Debts!$D$14)/12),2)</f>
        <v>0</v>
      </c>
      <c r="AJ142" s="56" t="n">
        <f aca="false">MIN(Z142,MAX(0,N(Debts!$E$5)))</f>
        <v>0</v>
      </c>
      <c r="AK142" s="56" t="n">
        <f aca="false">MIN(AA142,MAX(0,N(Debts!$E$6)))</f>
        <v>0</v>
      </c>
      <c r="AL142" s="56" t="n">
        <f aca="false">MIN(AB142,MAX(0,N(Debts!$E$7)))</f>
        <v>0</v>
      </c>
      <c r="AM142" s="56" t="n">
        <f aca="false">MIN(AC142,MAX(0,N(Debts!$E$8)))</f>
        <v>0</v>
      </c>
      <c r="AN142" s="56" t="n">
        <f aca="false">MIN(AD142,MAX(0,N(Debts!$E$9)))</f>
        <v>0</v>
      </c>
      <c r="AO142" s="56" t="n">
        <f aca="false">MIN(AE142,MAX(0,N(Debts!$E$10)))</f>
        <v>0</v>
      </c>
      <c r="AP142" s="56" t="n">
        <f aca="false">MIN(AF142,MAX(0,N(Debts!$E$11)))</f>
        <v>0</v>
      </c>
      <c r="AQ142" s="56" t="n">
        <f aca="false">MIN(AG142,MAX(0,N(Debts!$E$12)))</f>
        <v>0</v>
      </c>
      <c r="AR142" s="56" t="n">
        <f aca="false">MIN(AH142,MAX(0,N(Debts!$E$13)))</f>
        <v>0</v>
      </c>
      <c r="AS142" s="56" t="n">
        <f aca="false">MIN(AI142,MAX(0,N(Debts!$E$14)))</f>
        <v>0</v>
      </c>
    </row>
    <row r="143" customFormat="false" ht="15" hidden="false" customHeight="false" outlineLevel="0" collapsed="false">
      <c r="A143" s="53" t="n">
        <v>139</v>
      </c>
      <c r="B143" s="54" t="n">
        <f aca="false">EDATE('Start Here'!$B$8,138)</f>
        <v>50526</v>
      </c>
      <c r="C143" s="42" t="n">
        <f aca="false">SUM(F143:O143)</f>
        <v>0</v>
      </c>
      <c r="D143" s="42" t="n">
        <f aca="false">ROUND(SUM($Z143:$AI143)-SUM(P142:Y142),2)</f>
        <v>0</v>
      </c>
      <c r="E143" s="55" t="n">
        <f aca="false">SUM(P143:Y143)</f>
        <v>0</v>
      </c>
      <c r="F143" s="42" t="n">
        <f aca="false">AJ143+MIN(Z143-AJ143,MAX(0,'Start Here'!$B$10-SUM($AJ143:$AS143)-SUMPRODUCT(($Z$3:$AI$3&lt;Z$3)*($Z143:$AI143-$AJ143:$AS143))))</f>
        <v>0</v>
      </c>
      <c r="G143" s="42" t="n">
        <f aca="false">AK143+MIN(AA143-AK143,MAX(0,'Start Here'!$B$10-SUM($AJ143:$AS143)-SUMPRODUCT(($Z$3:$AI$3&lt;AA$3)*($Z143:$AI143-$AJ143:$AS143))))</f>
        <v>0</v>
      </c>
      <c r="H143" s="42" t="n">
        <f aca="false">AL143+MIN(AB143-AL143,MAX(0,'Start Here'!$B$10-SUM($AJ143:$AS143)-SUMPRODUCT(($Z$3:$AI$3&lt;AB$3)*($Z143:$AI143-$AJ143:$AS143))))</f>
        <v>0</v>
      </c>
      <c r="I143" s="42" t="n">
        <f aca="false">AM143+MIN(AC143-AM143,MAX(0,'Start Here'!$B$10-SUM($AJ143:$AS143)-SUMPRODUCT(($Z$3:$AI$3&lt;AC$3)*($Z143:$AI143-$AJ143:$AS143))))</f>
        <v>0</v>
      </c>
      <c r="J143" s="42" t="n">
        <f aca="false">AN143+MIN(AD143-AN143,MAX(0,'Start Here'!$B$10-SUM($AJ143:$AS143)-SUMPRODUCT(($Z$3:$AI$3&lt;AD$3)*($Z143:$AI143-$AJ143:$AS143))))</f>
        <v>0</v>
      </c>
      <c r="K143" s="42" t="n">
        <f aca="false">AO143+MIN(AE143-AO143,MAX(0,'Start Here'!$B$10-SUM($AJ143:$AS143)-SUMPRODUCT(($Z$3:$AI$3&lt;AE$3)*($Z143:$AI143-$AJ143:$AS143))))</f>
        <v>0</v>
      </c>
      <c r="L143" s="42" t="n">
        <f aca="false">AP143+MIN(AF143-AP143,MAX(0,'Start Here'!$B$10-SUM($AJ143:$AS143)-SUMPRODUCT(($Z$3:$AI$3&lt;AF$3)*($Z143:$AI143-$AJ143:$AS143))))</f>
        <v>0</v>
      </c>
      <c r="M143" s="42" t="n">
        <f aca="false">AQ143+MIN(AG143-AQ143,MAX(0,'Start Here'!$B$10-SUM($AJ143:$AS143)-SUMPRODUCT(($Z$3:$AI$3&lt;AG$3)*($Z143:$AI143-$AJ143:$AS143))))</f>
        <v>0</v>
      </c>
      <c r="N143" s="42" t="n">
        <f aca="false">AR143+MIN(AH143-AR143,MAX(0,'Start Here'!$B$10-SUM($AJ143:$AS143)-SUMPRODUCT(($Z$3:$AI$3&lt;AH$3)*($Z143:$AI143-$AJ143:$AS143))))</f>
        <v>0</v>
      </c>
      <c r="O143" s="42" t="n">
        <f aca="false">AS143+MIN(AI143-AS143,MAX(0,'Start Here'!$B$10-SUM($AJ143:$AS143)-SUMPRODUCT(($Z$3:$AI$3&lt;AI$3)*($Z143:$AI143-$AJ143:$AS143))))</f>
        <v>0</v>
      </c>
      <c r="P143" s="42" t="n">
        <f aca="false">ROUND(Z143-F143,2)</f>
        <v>0</v>
      </c>
      <c r="Q143" s="42" t="n">
        <f aca="false">ROUND(AA143-G143,2)</f>
        <v>0</v>
      </c>
      <c r="R143" s="42" t="n">
        <f aca="false">ROUND(AB143-H143,2)</f>
        <v>0</v>
      </c>
      <c r="S143" s="42" t="n">
        <f aca="false">ROUND(AC143-I143,2)</f>
        <v>0</v>
      </c>
      <c r="T143" s="42" t="n">
        <f aca="false">ROUND(AD143-J143,2)</f>
        <v>0</v>
      </c>
      <c r="U143" s="42" t="n">
        <f aca="false">ROUND(AE143-K143,2)</f>
        <v>0</v>
      </c>
      <c r="V143" s="42" t="n">
        <f aca="false">ROUND(AF143-L143,2)</f>
        <v>0</v>
      </c>
      <c r="W143" s="42" t="n">
        <f aca="false">ROUND(AG143-M143,2)</f>
        <v>0</v>
      </c>
      <c r="X143" s="42" t="n">
        <f aca="false">ROUND(AH143-N143,2)</f>
        <v>0</v>
      </c>
      <c r="Y143" s="42" t="n">
        <f aca="false">ROUND(AI143-O143,2)</f>
        <v>0</v>
      </c>
      <c r="Z143" s="56" t="n">
        <f aca="false">ROUND(P142*(1+N(Debts!$D$5)/12),2)</f>
        <v>0</v>
      </c>
      <c r="AA143" s="56" t="n">
        <f aca="false">ROUND(Q142*(1+N(Debts!$D$6)/12),2)</f>
        <v>0</v>
      </c>
      <c r="AB143" s="56" t="n">
        <f aca="false">ROUND(R142*(1+N(Debts!$D$7)/12),2)</f>
        <v>0</v>
      </c>
      <c r="AC143" s="56" t="n">
        <f aca="false">ROUND(S142*(1+N(Debts!$D$8)/12),2)</f>
        <v>0</v>
      </c>
      <c r="AD143" s="56" t="n">
        <f aca="false">ROUND(T142*(1+N(Debts!$D$9)/12),2)</f>
        <v>0</v>
      </c>
      <c r="AE143" s="56" t="n">
        <f aca="false">ROUND(U142*(1+N(Debts!$D$10)/12),2)</f>
        <v>0</v>
      </c>
      <c r="AF143" s="56" t="n">
        <f aca="false">ROUND(V142*(1+N(Debts!$D$11)/12),2)</f>
        <v>0</v>
      </c>
      <c r="AG143" s="56" t="n">
        <f aca="false">ROUND(W142*(1+N(Debts!$D$12)/12),2)</f>
        <v>0</v>
      </c>
      <c r="AH143" s="56" t="n">
        <f aca="false">ROUND(X142*(1+N(Debts!$D$13)/12),2)</f>
        <v>0</v>
      </c>
      <c r="AI143" s="56" t="n">
        <f aca="false">ROUND(Y142*(1+N(Debts!$D$14)/12),2)</f>
        <v>0</v>
      </c>
      <c r="AJ143" s="56" t="n">
        <f aca="false">MIN(Z143,MAX(0,N(Debts!$E$5)))</f>
        <v>0</v>
      </c>
      <c r="AK143" s="56" t="n">
        <f aca="false">MIN(AA143,MAX(0,N(Debts!$E$6)))</f>
        <v>0</v>
      </c>
      <c r="AL143" s="56" t="n">
        <f aca="false">MIN(AB143,MAX(0,N(Debts!$E$7)))</f>
        <v>0</v>
      </c>
      <c r="AM143" s="56" t="n">
        <f aca="false">MIN(AC143,MAX(0,N(Debts!$E$8)))</f>
        <v>0</v>
      </c>
      <c r="AN143" s="56" t="n">
        <f aca="false">MIN(AD143,MAX(0,N(Debts!$E$9)))</f>
        <v>0</v>
      </c>
      <c r="AO143" s="56" t="n">
        <f aca="false">MIN(AE143,MAX(0,N(Debts!$E$10)))</f>
        <v>0</v>
      </c>
      <c r="AP143" s="56" t="n">
        <f aca="false">MIN(AF143,MAX(0,N(Debts!$E$11)))</f>
        <v>0</v>
      </c>
      <c r="AQ143" s="56" t="n">
        <f aca="false">MIN(AG143,MAX(0,N(Debts!$E$12)))</f>
        <v>0</v>
      </c>
      <c r="AR143" s="56" t="n">
        <f aca="false">MIN(AH143,MAX(0,N(Debts!$E$13)))</f>
        <v>0</v>
      </c>
      <c r="AS143" s="56" t="n">
        <f aca="false">MIN(AI143,MAX(0,N(Debts!$E$14)))</f>
        <v>0</v>
      </c>
    </row>
    <row r="144" customFormat="false" ht="15" hidden="false" customHeight="false" outlineLevel="0" collapsed="false">
      <c r="A144" s="53" t="n">
        <v>140</v>
      </c>
      <c r="B144" s="54" t="n">
        <f aca="false">EDATE('Start Here'!$B$8,139)</f>
        <v>50557</v>
      </c>
      <c r="C144" s="42" t="n">
        <f aca="false">SUM(F144:O144)</f>
        <v>0</v>
      </c>
      <c r="D144" s="42" t="n">
        <f aca="false">ROUND(SUM($Z144:$AI144)-SUM(P143:Y143),2)</f>
        <v>0</v>
      </c>
      <c r="E144" s="55" t="n">
        <f aca="false">SUM(P144:Y144)</f>
        <v>0</v>
      </c>
      <c r="F144" s="42" t="n">
        <f aca="false">AJ144+MIN(Z144-AJ144,MAX(0,'Start Here'!$B$10-SUM($AJ144:$AS144)-SUMPRODUCT(($Z$3:$AI$3&lt;Z$3)*($Z144:$AI144-$AJ144:$AS144))))</f>
        <v>0</v>
      </c>
      <c r="G144" s="42" t="n">
        <f aca="false">AK144+MIN(AA144-AK144,MAX(0,'Start Here'!$B$10-SUM($AJ144:$AS144)-SUMPRODUCT(($Z$3:$AI$3&lt;AA$3)*($Z144:$AI144-$AJ144:$AS144))))</f>
        <v>0</v>
      </c>
      <c r="H144" s="42" t="n">
        <f aca="false">AL144+MIN(AB144-AL144,MAX(0,'Start Here'!$B$10-SUM($AJ144:$AS144)-SUMPRODUCT(($Z$3:$AI$3&lt;AB$3)*($Z144:$AI144-$AJ144:$AS144))))</f>
        <v>0</v>
      </c>
      <c r="I144" s="42" t="n">
        <f aca="false">AM144+MIN(AC144-AM144,MAX(0,'Start Here'!$B$10-SUM($AJ144:$AS144)-SUMPRODUCT(($Z$3:$AI$3&lt;AC$3)*($Z144:$AI144-$AJ144:$AS144))))</f>
        <v>0</v>
      </c>
      <c r="J144" s="42" t="n">
        <f aca="false">AN144+MIN(AD144-AN144,MAX(0,'Start Here'!$B$10-SUM($AJ144:$AS144)-SUMPRODUCT(($Z$3:$AI$3&lt;AD$3)*($Z144:$AI144-$AJ144:$AS144))))</f>
        <v>0</v>
      </c>
      <c r="K144" s="42" t="n">
        <f aca="false">AO144+MIN(AE144-AO144,MAX(0,'Start Here'!$B$10-SUM($AJ144:$AS144)-SUMPRODUCT(($Z$3:$AI$3&lt;AE$3)*($Z144:$AI144-$AJ144:$AS144))))</f>
        <v>0</v>
      </c>
      <c r="L144" s="42" t="n">
        <f aca="false">AP144+MIN(AF144-AP144,MAX(0,'Start Here'!$B$10-SUM($AJ144:$AS144)-SUMPRODUCT(($Z$3:$AI$3&lt;AF$3)*($Z144:$AI144-$AJ144:$AS144))))</f>
        <v>0</v>
      </c>
      <c r="M144" s="42" t="n">
        <f aca="false">AQ144+MIN(AG144-AQ144,MAX(0,'Start Here'!$B$10-SUM($AJ144:$AS144)-SUMPRODUCT(($Z$3:$AI$3&lt;AG$3)*($Z144:$AI144-$AJ144:$AS144))))</f>
        <v>0</v>
      </c>
      <c r="N144" s="42" t="n">
        <f aca="false">AR144+MIN(AH144-AR144,MAX(0,'Start Here'!$B$10-SUM($AJ144:$AS144)-SUMPRODUCT(($Z$3:$AI$3&lt;AH$3)*($Z144:$AI144-$AJ144:$AS144))))</f>
        <v>0</v>
      </c>
      <c r="O144" s="42" t="n">
        <f aca="false">AS144+MIN(AI144-AS144,MAX(0,'Start Here'!$B$10-SUM($AJ144:$AS144)-SUMPRODUCT(($Z$3:$AI$3&lt;AI$3)*($Z144:$AI144-$AJ144:$AS144))))</f>
        <v>0</v>
      </c>
      <c r="P144" s="42" t="n">
        <f aca="false">ROUND(Z144-F144,2)</f>
        <v>0</v>
      </c>
      <c r="Q144" s="42" t="n">
        <f aca="false">ROUND(AA144-G144,2)</f>
        <v>0</v>
      </c>
      <c r="R144" s="42" t="n">
        <f aca="false">ROUND(AB144-H144,2)</f>
        <v>0</v>
      </c>
      <c r="S144" s="42" t="n">
        <f aca="false">ROUND(AC144-I144,2)</f>
        <v>0</v>
      </c>
      <c r="T144" s="42" t="n">
        <f aca="false">ROUND(AD144-J144,2)</f>
        <v>0</v>
      </c>
      <c r="U144" s="42" t="n">
        <f aca="false">ROUND(AE144-K144,2)</f>
        <v>0</v>
      </c>
      <c r="V144" s="42" t="n">
        <f aca="false">ROUND(AF144-L144,2)</f>
        <v>0</v>
      </c>
      <c r="W144" s="42" t="n">
        <f aca="false">ROUND(AG144-M144,2)</f>
        <v>0</v>
      </c>
      <c r="X144" s="42" t="n">
        <f aca="false">ROUND(AH144-N144,2)</f>
        <v>0</v>
      </c>
      <c r="Y144" s="42" t="n">
        <f aca="false">ROUND(AI144-O144,2)</f>
        <v>0</v>
      </c>
      <c r="Z144" s="56" t="n">
        <f aca="false">ROUND(P143*(1+N(Debts!$D$5)/12),2)</f>
        <v>0</v>
      </c>
      <c r="AA144" s="56" t="n">
        <f aca="false">ROUND(Q143*(1+N(Debts!$D$6)/12),2)</f>
        <v>0</v>
      </c>
      <c r="AB144" s="56" t="n">
        <f aca="false">ROUND(R143*(1+N(Debts!$D$7)/12),2)</f>
        <v>0</v>
      </c>
      <c r="AC144" s="56" t="n">
        <f aca="false">ROUND(S143*(1+N(Debts!$D$8)/12),2)</f>
        <v>0</v>
      </c>
      <c r="AD144" s="56" t="n">
        <f aca="false">ROUND(T143*(1+N(Debts!$D$9)/12),2)</f>
        <v>0</v>
      </c>
      <c r="AE144" s="56" t="n">
        <f aca="false">ROUND(U143*(1+N(Debts!$D$10)/12),2)</f>
        <v>0</v>
      </c>
      <c r="AF144" s="56" t="n">
        <f aca="false">ROUND(V143*(1+N(Debts!$D$11)/12),2)</f>
        <v>0</v>
      </c>
      <c r="AG144" s="56" t="n">
        <f aca="false">ROUND(W143*(1+N(Debts!$D$12)/12),2)</f>
        <v>0</v>
      </c>
      <c r="AH144" s="56" t="n">
        <f aca="false">ROUND(X143*(1+N(Debts!$D$13)/12),2)</f>
        <v>0</v>
      </c>
      <c r="AI144" s="56" t="n">
        <f aca="false">ROUND(Y143*(1+N(Debts!$D$14)/12),2)</f>
        <v>0</v>
      </c>
      <c r="AJ144" s="56" t="n">
        <f aca="false">MIN(Z144,MAX(0,N(Debts!$E$5)))</f>
        <v>0</v>
      </c>
      <c r="AK144" s="56" t="n">
        <f aca="false">MIN(AA144,MAX(0,N(Debts!$E$6)))</f>
        <v>0</v>
      </c>
      <c r="AL144" s="56" t="n">
        <f aca="false">MIN(AB144,MAX(0,N(Debts!$E$7)))</f>
        <v>0</v>
      </c>
      <c r="AM144" s="56" t="n">
        <f aca="false">MIN(AC144,MAX(0,N(Debts!$E$8)))</f>
        <v>0</v>
      </c>
      <c r="AN144" s="56" t="n">
        <f aca="false">MIN(AD144,MAX(0,N(Debts!$E$9)))</f>
        <v>0</v>
      </c>
      <c r="AO144" s="56" t="n">
        <f aca="false">MIN(AE144,MAX(0,N(Debts!$E$10)))</f>
        <v>0</v>
      </c>
      <c r="AP144" s="56" t="n">
        <f aca="false">MIN(AF144,MAX(0,N(Debts!$E$11)))</f>
        <v>0</v>
      </c>
      <c r="AQ144" s="56" t="n">
        <f aca="false">MIN(AG144,MAX(0,N(Debts!$E$12)))</f>
        <v>0</v>
      </c>
      <c r="AR144" s="56" t="n">
        <f aca="false">MIN(AH144,MAX(0,N(Debts!$E$13)))</f>
        <v>0</v>
      </c>
      <c r="AS144" s="56" t="n">
        <f aca="false">MIN(AI144,MAX(0,N(Debts!$E$14)))</f>
        <v>0</v>
      </c>
    </row>
    <row r="145" customFormat="false" ht="15" hidden="false" customHeight="false" outlineLevel="0" collapsed="false">
      <c r="A145" s="53" t="n">
        <v>141</v>
      </c>
      <c r="B145" s="54" t="n">
        <f aca="false">EDATE('Start Here'!$B$8,140)</f>
        <v>50587</v>
      </c>
      <c r="C145" s="42" t="n">
        <f aca="false">SUM(F145:O145)</f>
        <v>0</v>
      </c>
      <c r="D145" s="42" t="n">
        <f aca="false">ROUND(SUM($Z145:$AI145)-SUM(P144:Y144),2)</f>
        <v>0</v>
      </c>
      <c r="E145" s="55" t="n">
        <f aca="false">SUM(P145:Y145)</f>
        <v>0</v>
      </c>
      <c r="F145" s="42" t="n">
        <f aca="false">AJ145+MIN(Z145-AJ145,MAX(0,'Start Here'!$B$10-SUM($AJ145:$AS145)-SUMPRODUCT(($Z$3:$AI$3&lt;Z$3)*($Z145:$AI145-$AJ145:$AS145))))</f>
        <v>0</v>
      </c>
      <c r="G145" s="42" t="n">
        <f aca="false">AK145+MIN(AA145-AK145,MAX(0,'Start Here'!$B$10-SUM($AJ145:$AS145)-SUMPRODUCT(($Z$3:$AI$3&lt;AA$3)*($Z145:$AI145-$AJ145:$AS145))))</f>
        <v>0</v>
      </c>
      <c r="H145" s="42" t="n">
        <f aca="false">AL145+MIN(AB145-AL145,MAX(0,'Start Here'!$B$10-SUM($AJ145:$AS145)-SUMPRODUCT(($Z$3:$AI$3&lt;AB$3)*($Z145:$AI145-$AJ145:$AS145))))</f>
        <v>0</v>
      </c>
      <c r="I145" s="42" t="n">
        <f aca="false">AM145+MIN(AC145-AM145,MAX(0,'Start Here'!$B$10-SUM($AJ145:$AS145)-SUMPRODUCT(($Z$3:$AI$3&lt;AC$3)*($Z145:$AI145-$AJ145:$AS145))))</f>
        <v>0</v>
      </c>
      <c r="J145" s="42" t="n">
        <f aca="false">AN145+MIN(AD145-AN145,MAX(0,'Start Here'!$B$10-SUM($AJ145:$AS145)-SUMPRODUCT(($Z$3:$AI$3&lt;AD$3)*($Z145:$AI145-$AJ145:$AS145))))</f>
        <v>0</v>
      </c>
      <c r="K145" s="42" t="n">
        <f aca="false">AO145+MIN(AE145-AO145,MAX(0,'Start Here'!$B$10-SUM($AJ145:$AS145)-SUMPRODUCT(($Z$3:$AI$3&lt;AE$3)*($Z145:$AI145-$AJ145:$AS145))))</f>
        <v>0</v>
      </c>
      <c r="L145" s="42" t="n">
        <f aca="false">AP145+MIN(AF145-AP145,MAX(0,'Start Here'!$B$10-SUM($AJ145:$AS145)-SUMPRODUCT(($Z$3:$AI$3&lt;AF$3)*($Z145:$AI145-$AJ145:$AS145))))</f>
        <v>0</v>
      </c>
      <c r="M145" s="42" t="n">
        <f aca="false">AQ145+MIN(AG145-AQ145,MAX(0,'Start Here'!$B$10-SUM($AJ145:$AS145)-SUMPRODUCT(($Z$3:$AI$3&lt;AG$3)*($Z145:$AI145-$AJ145:$AS145))))</f>
        <v>0</v>
      </c>
      <c r="N145" s="42" t="n">
        <f aca="false">AR145+MIN(AH145-AR145,MAX(0,'Start Here'!$B$10-SUM($AJ145:$AS145)-SUMPRODUCT(($Z$3:$AI$3&lt;AH$3)*($Z145:$AI145-$AJ145:$AS145))))</f>
        <v>0</v>
      </c>
      <c r="O145" s="42" t="n">
        <f aca="false">AS145+MIN(AI145-AS145,MAX(0,'Start Here'!$B$10-SUM($AJ145:$AS145)-SUMPRODUCT(($Z$3:$AI$3&lt;AI$3)*($Z145:$AI145-$AJ145:$AS145))))</f>
        <v>0</v>
      </c>
      <c r="P145" s="42" t="n">
        <f aca="false">ROUND(Z145-F145,2)</f>
        <v>0</v>
      </c>
      <c r="Q145" s="42" t="n">
        <f aca="false">ROUND(AA145-G145,2)</f>
        <v>0</v>
      </c>
      <c r="R145" s="42" t="n">
        <f aca="false">ROUND(AB145-H145,2)</f>
        <v>0</v>
      </c>
      <c r="S145" s="42" t="n">
        <f aca="false">ROUND(AC145-I145,2)</f>
        <v>0</v>
      </c>
      <c r="T145" s="42" t="n">
        <f aca="false">ROUND(AD145-J145,2)</f>
        <v>0</v>
      </c>
      <c r="U145" s="42" t="n">
        <f aca="false">ROUND(AE145-K145,2)</f>
        <v>0</v>
      </c>
      <c r="V145" s="42" t="n">
        <f aca="false">ROUND(AF145-L145,2)</f>
        <v>0</v>
      </c>
      <c r="W145" s="42" t="n">
        <f aca="false">ROUND(AG145-M145,2)</f>
        <v>0</v>
      </c>
      <c r="X145" s="42" t="n">
        <f aca="false">ROUND(AH145-N145,2)</f>
        <v>0</v>
      </c>
      <c r="Y145" s="42" t="n">
        <f aca="false">ROUND(AI145-O145,2)</f>
        <v>0</v>
      </c>
      <c r="Z145" s="56" t="n">
        <f aca="false">ROUND(P144*(1+N(Debts!$D$5)/12),2)</f>
        <v>0</v>
      </c>
      <c r="AA145" s="56" t="n">
        <f aca="false">ROUND(Q144*(1+N(Debts!$D$6)/12),2)</f>
        <v>0</v>
      </c>
      <c r="AB145" s="56" t="n">
        <f aca="false">ROUND(R144*(1+N(Debts!$D$7)/12),2)</f>
        <v>0</v>
      </c>
      <c r="AC145" s="56" t="n">
        <f aca="false">ROUND(S144*(1+N(Debts!$D$8)/12),2)</f>
        <v>0</v>
      </c>
      <c r="AD145" s="56" t="n">
        <f aca="false">ROUND(T144*(1+N(Debts!$D$9)/12),2)</f>
        <v>0</v>
      </c>
      <c r="AE145" s="56" t="n">
        <f aca="false">ROUND(U144*(1+N(Debts!$D$10)/12),2)</f>
        <v>0</v>
      </c>
      <c r="AF145" s="56" t="n">
        <f aca="false">ROUND(V144*(1+N(Debts!$D$11)/12),2)</f>
        <v>0</v>
      </c>
      <c r="AG145" s="56" t="n">
        <f aca="false">ROUND(W144*(1+N(Debts!$D$12)/12),2)</f>
        <v>0</v>
      </c>
      <c r="AH145" s="56" t="n">
        <f aca="false">ROUND(X144*(1+N(Debts!$D$13)/12),2)</f>
        <v>0</v>
      </c>
      <c r="AI145" s="56" t="n">
        <f aca="false">ROUND(Y144*(1+N(Debts!$D$14)/12),2)</f>
        <v>0</v>
      </c>
      <c r="AJ145" s="56" t="n">
        <f aca="false">MIN(Z145,MAX(0,N(Debts!$E$5)))</f>
        <v>0</v>
      </c>
      <c r="AK145" s="56" t="n">
        <f aca="false">MIN(AA145,MAX(0,N(Debts!$E$6)))</f>
        <v>0</v>
      </c>
      <c r="AL145" s="56" t="n">
        <f aca="false">MIN(AB145,MAX(0,N(Debts!$E$7)))</f>
        <v>0</v>
      </c>
      <c r="AM145" s="56" t="n">
        <f aca="false">MIN(AC145,MAX(0,N(Debts!$E$8)))</f>
        <v>0</v>
      </c>
      <c r="AN145" s="56" t="n">
        <f aca="false">MIN(AD145,MAX(0,N(Debts!$E$9)))</f>
        <v>0</v>
      </c>
      <c r="AO145" s="56" t="n">
        <f aca="false">MIN(AE145,MAX(0,N(Debts!$E$10)))</f>
        <v>0</v>
      </c>
      <c r="AP145" s="56" t="n">
        <f aca="false">MIN(AF145,MAX(0,N(Debts!$E$11)))</f>
        <v>0</v>
      </c>
      <c r="AQ145" s="56" t="n">
        <f aca="false">MIN(AG145,MAX(0,N(Debts!$E$12)))</f>
        <v>0</v>
      </c>
      <c r="AR145" s="56" t="n">
        <f aca="false">MIN(AH145,MAX(0,N(Debts!$E$13)))</f>
        <v>0</v>
      </c>
      <c r="AS145" s="56" t="n">
        <f aca="false">MIN(AI145,MAX(0,N(Debts!$E$14)))</f>
        <v>0</v>
      </c>
    </row>
    <row r="146" customFormat="false" ht="15" hidden="false" customHeight="false" outlineLevel="0" collapsed="false">
      <c r="A146" s="53" t="n">
        <v>142</v>
      </c>
      <c r="B146" s="54" t="n">
        <f aca="false">EDATE('Start Here'!$B$8,141)</f>
        <v>50618</v>
      </c>
      <c r="C146" s="42" t="n">
        <f aca="false">SUM(F146:O146)</f>
        <v>0</v>
      </c>
      <c r="D146" s="42" t="n">
        <f aca="false">ROUND(SUM($Z146:$AI146)-SUM(P145:Y145),2)</f>
        <v>0</v>
      </c>
      <c r="E146" s="55" t="n">
        <f aca="false">SUM(P146:Y146)</f>
        <v>0</v>
      </c>
      <c r="F146" s="42" t="n">
        <f aca="false">AJ146+MIN(Z146-AJ146,MAX(0,'Start Here'!$B$10-SUM($AJ146:$AS146)-SUMPRODUCT(($Z$3:$AI$3&lt;Z$3)*($Z146:$AI146-$AJ146:$AS146))))</f>
        <v>0</v>
      </c>
      <c r="G146" s="42" t="n">
        <f aca="false">AK146+MIN(AA146-AK146,MAX(0,'Start Here'!$B$10-SUM($AJ146:$AS146)-SUMPRODUCT(($Z$3:$AI$3&lt;AA$3)*($Z146:$AI146-$AJ146:$AS146))))</f>
        <v>0</v>
      </c>
      <c r="H146" s="42" t="n">
        <f aca="false">AL146+MIN(AB146-AL146,MAX(0,'Start Here'!$B$10-SUM($AJ146:$AS146)-SUMPRODUCT(($Z$3:$AI$3&lt;AB$3)*($Z146:$AI146-$AJ146:$AS146))))</f>
        <v>0</v>
      </c>
      <c r="I146" s="42" t="n">
        <f aca="false">AM146+MIN(AC146-AM146,MAX(0,'Start Here'!$B$10-SUM($AJ146:$AS146)-SUMPRODUCT(($Z$3:$AI$3&lt;AC$3)*($Z146:$AI146-$AJ146:$AS146))))</f>
        <v>0</v>
      </c>
      <c r="J146" s="42" t="n">
        <f aca="false">AN146+MIN(AD146-AN146,MAX(0,'Start Here'!$B$10-SUM($AJ146:$AS146)-SUMPRODUCT(($Z$3:$AI$3&lt;AD$3)*($Z146:$AI146-$AJ146:$AS146))))</f>
        <v>0</v>
      </c>
      <c r="K146" s="42" t="n">
        <f aca="false">AO146+MIN(AE146-AO146,MAX(0,'Start Here'!$B$10-SUM($AJ146:$AS146)-SUMPRODUCT(($Z$3:$AI$3&lt;AE$3)*($Z146:$AI146-$AJ146:$AS146))))</f>
        <v>0</v>
      </c>
      <c r="L146" s="42" t="n">
        <f aca="false">AP146+MIN(AF146-AP146,MAX(0,'Start Here'!$B$10-SUM($AJ146:$AS146)-SUMPRODUCT(($Z$3:$AI$3&lt;AF$3)*($Z146:$AI146-$AJ146:$AS146))))</f>
        <v>0</v>
      </c>
      <c r="M146" s="42" t="n">
        <f aca="false">AQ146+MIN(AG146-AQ146,MAX(0,'Start Here'!$B$10-SUM($AJ146:$AS146)-SUMPRODUCT(($Z$3:$AI$3&lt;AG$3)*($Z146:$AI146-$AJ146:$AS146))))</f>
        <v>0</v>
      </c>
      <c r="N146" s="42" t="n">
        <f aca="false">AR146+MIN(AH146-AR146,MAX(0,'Start Here'!$B$10-SUM($AJ146:$AS146)-SUMPRODUCT(($Z$3:$AI$3&lt;AH$3)*($Z146:$AI146-$AJ146:$AS146))))</f>
        <v>0</v>
      </c>
      <c r="O146" s="42" t="n">
        <f aca="false">AS146+MIN(AI146-AS146,MAX(0,'Start Here'!$B$10-SUM($AJ146:$AS146)-SUMPRODUCT(($Z$3:$AI$3&lt;AI$3)*($Z146:$AI146-$AJ146:$AS146))))</f>
        <v>0</v>
      </c>
      <c r="P146" s="42" t="n">
        <f aca="false">ROUND(Z146-F146,2)</f>
        <v>0</v>
      </c>
      <c r="Q146" s="42" t="n">
        <f aca="false">ROUND(AA146-G146,2)</f>
        <v>0</v>
      </c>
      <c r="R146" s="42" t="n">
        <f aca="false">ROUND(AB146-H146,2)</f>
        <v>0</v>
      </c>
      <c r="S146" s="42" t="n">
        <f aca="false">ROUND(AC146-I146,2)</f>
        <v>0</v>
      </c>
      <c r="T146" s="42" t="n">
        <f aca="false">ROUND(AD146-J146,2)</f>
        <v>0</v>
      </c>
      <c r="U146" s="42" t="n">
        <f aca="false">ROUND(AE146-K146,2)</f>
        <v>0</v>
      </c>
      <c r="V146" s="42" t="n">
        <f aca="false">ROUND(AF146-L146,2)</f>
        <v>0</v>
      </c>
      <c r="W146" s="42" t="n">
        <f aca="false">ROUND(AG146-M146,2)</f>
        <v>0</v>
      </c>
      <c r="X146" s="42" t="n">
        <f aca="false">ROUND(AH146-N146,2)</f>
        <v>0</v>
      </c>
      <c r="Y146" s="42" t="n">
        <f aca="false">ROUND(AI146-O146,2)</f>
        <v>0</v>
      </c>
      <c r="Z146" s="56" t="n">
        <f aca="false">ROUND(P145*(1+N(Debts!$D$5)/12),2)</f>
        <v>0</v>
      </c>
      <c r="AA146" s="56" t="n">
        <f aca="false">ROUND(Q145*(1+N(Debts!$D$6)/12),2)</f>
        <v>0</v>
      </c>
      <c r="AB146" s="56" t="n">
        <f aca="false">ROUND(R145*(1+N(Debts!$D$7)/12),2)</f>
        <v>0</v>
      </c>
      <c r="AC146" s="56" t="n">
        <f aca="false">ROUND(S145*(1+N(Debts!$D$8)/12),2)</f>
        <v>0</v>
      </c>
      <c r="AD146" s="56" t="n">
        <f aca="false">ROUND(T145*(1+N(Debts!$D$9)/12),2)</f>
        <v>0</v>
      </c>
      <c r="AE146" s="56" t="n">
        <f aca="false">ROUND(U145*(1+N(Debts!$D$10)/12),2)</f>
        <v>0</v>
      </c>
      <c r="AF146" s="56" t="n">
        <f aca="false">ROUND(V145*(1+N(Debts!$D$11)/12),2)</f>
        <v>0</v>
      </c>
      <c r="AG146" s="56" t="n">
        <f aca="false">ROUND(W145*(1+N(Debts!$D$12)/12),2)</f>
        <v>0</v>
      </c>
      <c r="AH146" s="56" t="n">
        <f aca="false">ROUND(X145*(1+N(Debts!$D$13)/12),2)</f>
        <v>0</v>
      </c>
      <c r="AI146" s="56" t="n">
        <f aca="false">ROUND(Y145*(1+N(Debts!$D$14)/12),2)</f>
        <v>0</v>
      </c>
      <c r="AJ146" s="56" t="n">
        <f aca="false">MIN(Z146,MAX(0,N(Debts!$E$5)))</f>
        <v>0</v>
      </c>
      <c r="AK146" s="56" t="n">
        <f aca="false">MIN(AA146,MAX(0,N(Debts!$E$6)))</f>
        <v>0</v>
      </c>
      <c r="AL146" s="56" t="n">
        <f aca="false">MIN(AB146,MAX(0,N(Debts!$E$7)))</f>
        <v>0</v>
      </c>
      <c r="AM146" s="56" t="n">
        <f aca="false">MIN(AC146,MAX(0,N(Debts!$E$8)))</f>
        <v>0</v>
      </c>
      <c r="AN146" s="56" t="n">
        <f aca="false">MIN(AD146,MAX(0,N(Debts!$E$9)))</f>
        <v>0</v>
      </c>
      <c r="AO146" s="56" t="n">
        <f aca="false">MIN(AE146,MAX(0,N(Debts!$E$10)))</f>
        <v>0</v>
      </c>
      <c r="AP146" s="56" t="n">
        <f aca="false">MIN(AF146,MAX(0,N(Debts!$E$11)))</f>
        <v>0</v>
      </c>
      <c r="AQ146" s="56" t="n">
        <f aca="false">MIN(AG146,MAX(0,N(Debts!$E$12)))</f>
        <v>0</v>
      </c>
      <c r="AR146" s="56" t="n">
        <f aca="false">MIN(AH146,MAX(0,N(Debts!$E$13)))</f>
        <v>0</v>
      </c>
      <c r="AS146" s="56" t="n">
        <f aca="false">MIN(AI146,MAX(0,N(Debts!$E$14)))</f>
        <v>0</v>
      </c>
    </row>
    <row r="147" customFormat="false" ht="15" hidden="false" customHeight="false" outlineLevel="0" collapsed="false">
      <c r="A147" s="53" t="n">
        <v>143</v>
      </c>
      <c r="B147" s="54" t="n">
        <f aca="false">EDATE('Start Here'!$B$8,142)</f>
        <v>50649</v>
      </c>
      <c r="C147" s="42" t="n">
        <f aca="false">SUM(F147:O147)</f>
        <v>0</v>
      </c>
      <c r="D147" s="42" t="n">
        <f aca="false">ROUND(SUM($Z147:$AI147)-SUM(P146:Y146),2)</f>
        <v>0</v>
      </c>
      <c r="E147" s="55" t="n">
        <f aca="false">SUM(P147:Y147)</f>
        <v>0</v>
      </c>
      <c r="F147" s="42" t="n">
        <f aca="false">AJ147+MIN(Z147-AJ147,MAX(0,'Start Here'!$B$10-SUM($AJ147:$AS147)-SUMPRODUCT(($Z$3:$AI$3&lt;Z$3)*($Z147:$AI147-$AJ147:$AS147))))</f>
        <v>0</v>
      </c>
      <c r="G147" s="42" t="n">
        <f aca="false">AK147+MIN(AA147-AK147,MAX(0,'Start Here'!$B$10-SUM($AJ147:$AS147)-SUMPRODUCT(($Z$3:$AI$3&lt;AA$3)*($Z147:$AI147-$AJ147:$AS147))))</f>
        <v>0</v>
      </c>
      <c r="H147" s="42" t="n">
        <f aca="false">AL147+MIN(AB147-AL147,MAX(0,'Start Here'!$B$10-SUM($AJ147:$AS147)-SUMPRODUCT(($Z$3:$AI$3&lt;AB$3)*($Z147:$AI147-$AJ147:$AS147))))</f>
        <v>0</v>
      </c>
      <c r="I147" s="42" t="n">
        <f aca="false">AM147+MIN(AC147-AM147,MAX(0,'Start Here'!$B$10-SUM($AJ147:$AS147)-SUMPRODUCT(($Z$3:$AI$3&lt;AC$3)*($Z147:$AI147-$AJ147:$AS147))))</f>
        <v>0</v>
      </c>
      <c r="J147" s="42" t="n">
        <f aca="false">AN147+MIN(AD147-AN147,MAX(0,'Start Here'!$B$10-SUM($AJ147:$AS147)-SUMPRODUCT(($Z$3:$AI$3&lt;AD$3)*($Z147:$AI147-$AJ147:$AS147))))</f>
        <v>0</v>
      </c>
      <c r="K147" s="42" t="n">
        <f aca="false">AO147+MIN(AE147-AO147,MAX(0,'Start Here'!$B$10-SUM($AJ147:$AS147)-SUMPRODUCT(($Z$3:$AI$3&lt;AE$3)*($Z147:$AI147-$AJ147:$AS147))))</f>
        <v>0</v>
      </c>
      <c r="L147" s="42" t="n">
        <f aca="false">AP147+MIN(AF147-AP147,MAX(0,'Start Here'!$B$10-SUM($AJ147:$AS147)-SUMPRODUCT(($Z$3:$AI$3&lt;AF$3)*($Z147:$AI147-$AJ147:$AS147))))</f>
        <v>0</v>
      </c>
      <c r="M147" s="42" t="n">
        <f aca="false">AQ147+MIN(AG147-AQ147,MAX(0,'Start Here'!$B$10-SUM($AJ147:$AS147)-SUMPRODUCT(($Z$3:$AI$3&lt;AG$3)*($Z147:$AI147-$AJ147:$AS147))))</f>
        <v>0</v>
      </c>
      <c r="N147" s="42" t="n">
        <f aca="false">AR147+MIN(AH147-AR147,MAX(0,'Start Here'!$B$10-SUM($AJ147:$AS147)-SUMPRODUCT(($Z$3:$AI$3&lt;AH$3)*($Z147:$AI147-$AJ147:$AS147))))</f>
        <v>0</v>
      </c>
      <c r="O147" s="42" t="n">
        <f aca="false">AS147+MIN(AI147-AS147,MAX(0,'Start Here'!$B$10-SUM($AJ147:$AS147)-SUMPRODUCT(($Z$3:$AI$3&lt;AI$3)*($Z147:$AI147-$AJ147:$AS147))))</f>
        <v>0</v>
      </c>
      <c r="P147" s="42" t="n">
        <f aca="false">ROUND(Z147-F147,2)</f>
        <v>0</v>
      </c>
      <c r="Q147" s="42" t="n">
        <f aca="false">ROUND(AA147-G147,2)</f>
        <v>0</v>
      </c>
      <c r="R147" s="42" t="n">
        <f aca="false">ROUND(AB147-H147,2)</f>
        <v>0</v>
      </c>
      <c r="S147" s="42" t="n">
        <f aca="false">ROUND(AC147-I147,2)</f>
        <v>0</v>
      </c>
      <c r="T147" s="42" t="n">
        <f aca="false">ROUND(AD147-J147,2)</f>
        <v>0</v>
      </c>
      <c r="U147" s="42" t="n">
        <f aca="false">ROUND(AE147-K147,2)</f>
        <v>0</v>
      </c>
      <c r="V147" s="42" t="n">
        <f aca="false">ROUND(AF147-L147,2)</f>
        <v>0</v>
      </c>
      <c r="W147" s="42" t="n">
        <f aca="false">ROUND(AG147-M147,2)</f>
        <v>0</v>
      </c>
      <c r="X147" s="42" t="n">
        <f aca="false">ROUND(AH147-N147,2)</f>
        <v>0</v>
      </c>
      <c r="Y147" s="42" t="n">
        <f aca="false">ROUND(AI147-O147,2)</f>
        <v>0</v>
      </c>
      <c r="Z147" s="56" t="n">
        <f aca="false">ROUND(P146*(1+N(Debts!$D$5)/12),2)</f>
        <v>0</v>
      </c>
      <c r="AA147" s="56" t="n">
        <f aca="false">ROUND(Q146*(1+N(Debts!$D$6)/12),2)</f>
        <v>0</v>
      </c>
      <c r="AB147" s="56" t="n">
        <f aca="false">ROUND(R146*(1+N(Debts!$D$7)/12),2)</f>
        <v>0</v>
      </c>
      <c r="AC147" s="56" t="n">
        <f aca="false">ROUND(S146*(1+N(Debts!$D$8)/12),2)</f>
        <v>0</v>
      </c>
      <c r="AD147" s="56" t="n">
        <f aca="false">ROUND(T146*(1+N(Debts!$D$9)/12),2)</f>
        <v>0</v>
      </c>
      <c r="AE147" s="56" t="n">
        <f aca="false">ROUND(U146*(1+N(Debts!$D$10)/12),2)</f>
        <v>0</v>
      </c>
      <c r="AF147" s="56" t="n">
        <f aca="false">ROUND(V146*(1+N(Debts!$D$11)/12),2)</f>
        <v>0</v>
      </c>
      <c r="AG147" s="56" t="n">
        <f aca="false">ROUND(W146*(1+N(Debts!$D$12)/12),2)</f>
        <v>0</v>
      </c>
      <c r="AH147" s="56" t="n">
        <f aca="false">ROUND(X146*(1+N(Debts!$D$13)/12),2)</f>
        <v>0</v>
      </c>
      <c r="AI147" s="56" t="n">
        <f aca="false">ROUND(Y146*(1+N(Debts!$D$14)/12),2)</f>
        <v>0</v>
      </c>
      <c r="AJ147" s="56" t="n">
        <f aca="false">MIN(Z147,MAX(0,N(Debts!$E$5)))</f>
        <v>0</v>
      </c>
      <c r="AK147" s="56" t="n">
        <f aca="false">MIN(AA147,MAX(0,N(Debts!$E$6)))</f>
        <v>0</v>
      </c>
      <c r="AL147" s="56" t="n">
        <f aca="false">MIN(AB147,MAX(0,N(Debts!$E$7)))</f>
        <v>0</v>
      </c>
      <c r="AM147" s="56" t="n">
        <f aca="false">MIN(AC147,MAX(0,N(Debts!$E$8)))</f>
        <v>0</v>
      </c>
      <c r="AN147" s="56" t="n">
        <f aca="false">MIN(AD147,MAX(0,N(Debts!$E$9)))</f>
        <v>0</v>
      </c>
      <c r="AO147" s="56" t="n">
        <f aca="false">MIN(AE147,MAX(0,N(Debts!$E$10)))</f>
        <v>0</v>
      </c>
      <c r="AP147" s="56" t="n">
        <f aca="false">MIN(AF147,MAX(0,N(Debts!$E$11)))</f>
        <v>0</v>
      </c>
      <c r="AQ147" s="56" t="n">
        <f aca="false">MIN(AG147,MAX(0,N(Debts!$E$12)))</f>
        <v>0</v>
      </c>
      <c r="AR147" s="56" t="n">
        <f aca="false">MIN(AH147,MAX(0,N(Debts!$E$13)))</f>
        <v>0</v>
      </c>
      <c r="AS147" s="56" t="n">
        <f aca="false">MIN(AI147,MAX(0,N(Debts!$E$14)))</f>
        <v>0</v>
      </c>
    </row>
    <row r="148" customFormat="false" ht="15" hidden="false" customHeight="false" outlineLevel="0" collapsed="false">
      <c r="A148" s="53" t="n">
        <v>144</v>
      </c>
      <c r="B148" s="54" t="n">
        <f aca="false">EDATE('Start Here'!$B$8,143)</f>
        <v>50679</v>
      </c>
      <c r="C148" s="42" t="n">
        <f aca="false">SUM(F148:O148)</f>
        <v>0</v>
      </c>
      <c r="D148" s="42" t="n">
        <f aca="false">ROUND(SUM($Z148:$AI148)-SUM(P147:Y147),2)</f>
        <v>0</v>
      </c>
      <c r="E148" s="55" t="n">
        <f aca="false">SUM(P148:Y148)</f>
        <v>0</v>
      </c>
      <c r="F148" s="42" t="n">
        <f aca="false">AJ148+MIN(Z148-AJ148,MAX(0,'Start Here'!$B$10-SUM($AJ148:$AS148)-SUMPRODUCT(($Z$3:$AI$3&lt;Z$3)*($Z148:$AI148-$AJ148:$AS148))))</f>
        <v>0</v>
      </c>
      <c r="G148" s="42" t="n">
        <f aca="false">AK148+MIN(AA148-AK148,MAX(0,'Start Here'!$B$10-SUM($AJ148:$AS148)-SUMPRODUCT(($Z$3:$AI$3&lt;AA$3)*($Z148:$AI148-$AJ148:$AS148))))</f>
        <v>0</v>
      </c>
      <c r="H148" s="42" t="n">
        <f aca="false">AL148+MIN(AB148-AL148,MAX(0,'Start Here'!$B$10-SUM($AJ148:$AS148)-SUMPRODUCT(($Z$3:$AI$3&lt;AB$3)*($Z148:$AI148-$AJ148:$AS148))))</f>
        <v>0</v>
      </c>
      <c r="I148" s="42" t="n">
        <f aca="false">AM148+MIN(AC148-AM148,MAX(0,'Start Here'!$B$10-SUM($AJ148:$AS148)-SUMPRODUCT(($Z$3:$AI$3&lt;AC$3)*($Z148:$AI148-$AJ148:$AS148))))</f>
        <v>0</v>
      </c>
      <c r="J148" s="42" t="n">
        <f aca="false">AN148+MIN(AD148-AN148,MAX(0,'Start Here'!$B$10-SUM($AJ148:$AS148)-SUMPRODUCT(($Z$3:$AI$3&lt;AD$3)*($Z148:$AI148-$AJ148:$AS148))))</f>
        <v>0</v>
      </c>
      <c r="K148" s="42" t="n">
        <f aca="false">AO148+MIN(AE148-AO148,MAX(0,'Start Here'!$B$10-SUM($AJ148:$AS148)-SUMPRODUCT(($Z$3:$AI$3&lt;AE$3)*($Z148:$AI148-$AJ148:$AS148))))</f>
        <v>0</v>
      </c>
      <c r="L148" s="42" t="n">
        <f aca="false">AP148+MIN(AF148-AP148,MAX(0,'Start Here'!$B$10-SUM($AJ148:$AS148)-SUMPRODUCT(($Z$3:$AI$3&lt;AF$3)*($Z148:$AI148-$AJ148:$AS148))))</f>
        <v>0</v>
      </c>
      <c r="M148" s="42" t="n">
        <f aca="false">AQ148+MIN(AG148-AQ148,MAX(0,'Start Here'!$B$10-SUM($AJ148:$AS148)-SUMPRODUCT(($Z$3:$AI$3&lt;AG$3)*($Z148:$AI148-$AJ148:$AS148))))</f>
        <v>0</v>
      </c>
      <c r="N148" s="42" t="n">
        <f aca="false">AR148+MIN(AH148-AR148,MAX(0,'Start Here'!$B$10-SUM($AJ148:$AS148)-SUMPRODUCT(($Z$3:$AI$3&lt;AH$3)*($Z148:$AI148-$AJ148:$AS148))))</f>
        <v>0</v>
      </c>
      <c r="O148" s="42" t="n">
        <f aca="false">AS148+MIN(AI148-AS148,MAX(0,'Start Here'!$B$10-SUM($AJ148:$AS148)-SUMPRODUCT(($Z$3:$AI$3&lt;AI$3)*($Z148:$AI148-$AJ148:$AS148))))</f>
        <v>0</v>
      </c>
      <c r="P148" s="42" t="n">
        <f aca="false">ROUND(Z148-F148,2)</f>
        <v>0</v>
      </c>
      <c r="Q148" s="42" t="n">
        <f aca="false">ROUND(AA148-G148,2)</f>
        <v>0</v>
      </c>
      <c r="R148" s="42" t="n">
        <f aca="false">ROUND(AB148-H148,2)</f>
        <v>0</v>
      </c>
      <c r="S148" s="42" t="n">
        <f aca="false">ROUND(AC148-I148,2)</f>
        <v>0</v>
      </c>
      <c r="T148" s="42" t="n">
        <f aca="false">ROUND(AD148-J148,2)</f>
        <v>0</v>
      </c>
      <c r="U148" s="42" t="n">
        <f aca="false">ROUND(AE148-K148,2)</f>
        <v>0</v>
      </c>
      <c r="V148" s="42" t="n">
        <f aca="false">ROUND(AF148-L148,2)</f>
        <v>0</v>
      </c>
      <c r="W148" s="42" t="n">
        <f aca="false">ROUND(AG148-M148,2)</f>
        <v>0</v>
      </c>
      <c r="X148" s="42" t="n">
        <f aca="false">ROUND(AH148-N148,2)</f>
        <v>0</v>
      </c>
      <c r="Y148" s="42" t="n">
        <f aca="false">ROUND(AI148-O148,2)</f>
        <v>0</v>
      </c>
      <c r="Z148" s="56" t="n">
        <f aca="false">ROUND(P147*(1+N(Debts!$D$5)/12),2)</f>
        <v>0</v>
      </c>
      <c r="AA148" s="56" t="n">
        <f aca="false">ROUND(Q147*(1+N(Debts!$D$6)/12),2)</f>
        <v>0</v>
      </c>
      <c r="AB148" s="56" t="n">
        <f aca="false">ROUND(R147*(1+N(Debts!$D$7)/12),2)</f>
        <v>0</v>
      </c>
      <c r="AC148" s="56" t="n">
        <f aca="false">ROUND(S147*(1+N(Debts!$D$8)/12),2)</f>
        <v>0</v>
      </c>
      <c r="AD148" s="56" t="n">
        <f aca="false">ROUND(T147*(1+N(Debts!$D$9)/12),2)</f>
        <v>0</v>
      </c>
      <c r="AE148" s="56" t="n">
        <f aca="false">ROUND(U147*(1+N(Debts!$D$10)/12),2)</f>
        <v>0</v>
      </c>
      <c r="AF148" s="56" t="n">
        <f aca="false">ROUND(V147*(1+N(Debts!$D$11)/12),2)</f>
        <v>0</v>
      </c>
      <c r="AG148" s="56" t="n">
        <f aca="false">ROUND(W147*(1+N(Debts!$D$12)/12),2)</f>
        <v>0</v>
      </c>
      <c r="AH148" s="56" t="n">
        <f aca="false">ROUND(X147*(1+N(Debts!$D$13)/12),2)</f>
        <v>0</v>
      </c>
      <c r="AI148" s="56" t="n">
        <f aca="false">ROUND(Y147*(1+N(Debts!$D$14)/12),2)</f>
        <v>0</v>
      </c>
      <c r="AJ148" s="56" t="n">
        <f aca="false">MIN(Z148,MAX(0,N(Debts!$E$5)))</f>
        <v>0</v>
      </c>
      <c r="AK148" s="56" t="n">
        <f aca="false">MIN(AA148,MAX(0,N(Debts!$E$6)))</f>
        <v>0</v>
      </c>
      <c r="AL148" s="56" t="n">
        <f aca="false">MIN(AB148,MAX(0,N(Debts!$E$7)))</f>
        <v>0</v>
      </c>
      <c r="AM148" s="56" t="n">
        <f aca="false">MIN(AC148,MAX(0,N(Debts!$E$8)))</f>
        <v>0</v>
      </c>
      <c r="AN148" s="56" t="n">
        <f aca="false">MIN(AD148,MAX(0,N(Debts!$E$9)))</f>
        <v>0</v>
      </c>
      <c r="AO148" s="56" t="n">
        <f aca="false">MIN(AE148,MAX(0,N(Debts!$E$10)))</f>
        <v>0</v>
      </c>
      <c r="AP148" s="56" t="n">
        <f aca="false">MIN(AF148,MAX(0,N(Debts!$E$11)))</f>
        <v>0</v>
      </c>
      <c r="AQ148" s="56" t="n">
        <f aca="false">MIN(AG148,MAX(0,N(Debts!$E$12)))</f>
        <v>0</v>
      </c>
      <c r="AR148" s="56" t="n">
        <f aca="false">MIN(AH148,MAX(0,N(Debts!$E$13)))</f>
        <v>0</v>
      </c>
      <c r="AS148" s="56" t="n">
        <f aca="false">MIN(AI148,MAX(0,N(Debts!$E$14)))</f>
        <v>0</v>
      </c>
    </row>
    <row r="149" customFormat="false" ht="15" hidden="false" customHeight="false" outlineLevel="0" collapsed="false">
      <c r="A149" s="53" t="n">
        <v>145</v>
      </c>
      <c r="B149" s="54" t="n">
        <f aca="false">EDATE('Start Here'!$B$8,144)</f>
        <v>50710</v>
      </c>
      <c r="C149" s="42" t="n">
        <f aca="false">SUM(F149:O149)</f>
        <v>0</v>
      </c>
      <c r="D149" s="42" t="n">
        <f aca="false">ROUND(SUM($Z149:$AI149)-SUM(P148:Y148),2)</f>
        <v>0</v>
      </c>
      <c r="E149" s="55" t="n">
        <f aca="false">SUM(P149:Y149)</f>
        <v>0</v>
      </c>
      <c r="F149" s="42" t="n">
        <f aca="false">AJ149+MIN(Z149-AJ149,MAX(0,'Start Here'!$B$10-SUM($AJ149:$AS149)-SUMPRODUCT(($Z$3:$AI$3&lt;Z$3)*($Z149:$AI149-$AJ149:$AS149))))</f>
        <v>0</v>
      </c>
      <c r="G149" s="42" t="n">
        <f aca="false">AK149+MIN(AA149-AK149,MAX(0,'Start Here'!$B$10-SUM($AJ149:$AS149)-SUMPRODUCT(($Z$3:$AI$3&lt;AA$3)*($Z149:$AI149-$AJ149:$AS149))))</f>
        <v>0</v>
      </c>
      <c r="H149" s="42" t="n">
        <f aca="false">AL149+MIN(AB149-AL149,MAX(0,'Start Here'!$B$10-SUM($AJ149:$AS149)-SUMPRODUCT(($Z$3:$AI$3&lt;AB$3)*($Z149:$AI149-$AJ149:$AS149))))</f>
        <v>0</v>
      </c>
      <c r="I149" s="42" t="n">
        <f aca="false">AM149+MIN(AC149-AM149,MAX(0,'Start Here'!$B$10-SUM($AJ149:$AS149)-SUMPRODUCT(($Z$3:$AI$3&lt;AC$3)*($Z149:$AI149-$AJ149:$AS149))))</f>
        <v>0</v>
      </c>
      <c r="J149" s="42" t="n">
        <f aca="false">AN149+MIN(AD149-AN149,MAX(0,'Start Here'!$B$10-SUM($AJ149:$AS149)-SUMPRODUCT(($Z$3:$AI$3&lt;AD$3)*($Z149:$AI149-$AJ149:$AS149))))</f>
        <v>0</v>
      </c>
      <c r="K149" s="42" t="n">
        <f aca="false">AO149+MIN(AE149-AO149,MAX(0,'Start Here'!$B$10-SUM($AJ149:$AS149)-SUMPRODUCT(($Z$3:$AI$3&lt;AE$3)*($Z149:$AI149-$AJ149:$AS149))))</f>
        <v>0</v>
      </c>
      <c r="L149" s="42" t="n">
        <f aca="false">AP149+MIN(AF149-AP149,MAX(0,'Start Here'!$B$10-SUM($AJ149:$AS149)-SUMPRODUCT(($Z$3:$AI$3&lt;AF$3)*($Z149:$AI149-$AJ149:$AS149))))</f>
        <v>0</v>
      </c>
      <c r="M149" s="42" t="n">
        <f aca="false">AQ149+MIN(AG149-AQ149,MAX(0,'Start Here'!$B$10-SUM($AJ149:$AS149)-SUMPRODUCT(($Z$3:$AI$3&lt;AG$3)*($Z149:$AI149-$AJ149:$AS149))))</f>
        <v>0</v>
      </c>
      <c r="N149" s="42" t="n">
        <f aca="false">AR149+MIN(AH149-AR149,MAX(0,'Start Here'!$B$10-SUM($AJ149:$AS149)-SUMPRODUCT(($Z$3:$AI$3&lt;AH$3)*($Z149:$AI149-$AJ149:$AS149))))</f>
        <v>0</v>
      </c>
      <c r="O149" s="42" t="n">
        <f aca="false">AS149+MIN(AI149-AS149,MAX(0,'Start Here'!$B$10-SUM($AJ149:$AS149)-SUMPRODUCT(($Z$3:$AI$3&lt;AI$3)*($Z149:$AI149-$AJ149:$AS149))))</f>
        <v>0</v>
      </c>
      <c r="P149" s="42" t="n">
        <f aca="false">ROUND(Z149-F149,2)</f>
        <v>0</v>
      </c>
      <c r="Q149" s="42" t="n">
        <f aca="false">ROUND(AA149-G149,2)</f>
        <v>0</v>
      </c>
      <c r="R149" s="42" t="n">
        <f aca="false">ROUND(AB149-H149,2)</f>
        <v>0</v>
      </c>
      <c r="S149" s="42" t="n">
        <f aca="false">ROUND(AC149-I149,2)</f>
        <v>0</v>
      </c>
      <c r="T149" s="42" t="n">
        <f aca="false">ROUND(AD149-J149,2)</f>
        <v>0</v>
      </c>
      <c r="U149" s="42" t="n">
        <f aca="false">ROUND(AE149-K149,2)</f>
        <v>0</v>
      </c>
      <c r="V149" s="42" t="n">
        <f aca="false">ROUND(AF149-L149,2)</f>
        <v>0</v>
      </c>
      <c r="W149" s="42" t="n">
        <f aca="false">ROUND(AG149-M149,2)</f>
        <v>0</v>
      </c>
      <c r="X149" s="42" t="n">
        <f aca="false">ROUND(AH149-N149,2)</f>
        <v>0</v>
      </c>
      <c r="Y149" s="42" t="n">
        <f aca="false">ROUND(AI149-O149,2)</f>
        <v>0</v>
      </c>
      <c r="Z149" s="56" t="n">
        <f aca="false">ROUND(P148*(1+N(Debts!$D$5)/12),2)</f>
        <v>0</v>
      </c>
      <c r="AA149" s="56" t="n">
        <f aca="false">ROUND(Q148*(1+N(Debts!$D$6)/12),2)</f>
        <v>0</v>
      </c>
      <c r="AB149" s="56" t="n">
        <f aca="false">ROUND(R148*(1+N(Debts!$D$7)/12),2)</f>
        <v>0</v>
      </c>
      <c r="AC149" s="56" t="n">
        <f aca="false">ROUND(S148*(1+N(Debts!$D$8)/12),2)</f>
        <v>0</v>
      </c>
      <c r="AD149" s="56" t="n">
        <f aca="false">ROUND(T148*(1+N(Debts!$D$9)/12),2)</f>
        <v>0</v>
      </c>
      <c r="AE149" s="56" t="n">
        <f aca="false">ROUND(U148*(1+N(Debts!$D$10)/12),2)</f>
        <v>0</v>
      </c>
      <c r="AF149" s="56" t="n">
        <f aca="false">ROUND(V148*(1+N(Debts!$D$11)/12),2)</f>
        <v>0</v>
      </c>
      <c r="AG149" s="56" t="n">
        <f aca="false">ROUND(W148*(1+N(Debts!$D$12)/12),2)</f>
        <v>0</v>
      </c>
      <c r="AH149" s="56" t="n">
        <f aca="false">ROUND(X148*(1+N(Debts!$D$13)/12),2)</f>
        <v>0</v>
      </c>
      <c r="AI149" s="56" t="n">
        <f aca="false">ROUND(Y148*(1+N(Debts!$D$14)/12),2)</f>
        <v>0</v>
      </c>
      <c r="AJ149" s="56" t="n">
        <f aca="false">MIN(Z149,MAX(0,N(Debts!$E$5)))</f>
        <v>0</v>
      </c>
      <c r="AK149" s="56" t="n">
        <f aca="false">MIN(AA149,MAX(0,N(Debts!$E$6)))</f>
        <v>0</v>
      </c>
      <c r="AL149" s="56" t="n">
        <f aca="false">MIN(AB149,MAX(0,N(Debts!$E$7)))</f>
        <v>0</v>
      </c>
      <c r="AM149" s="56" t="n">
        <f aca="false">MIN(AC149,MAX(0,N(Debts!$E$8)))</f>
        <v>0</v>
      </c>
      <c r="AN149" s="56" t="n">
        <f aca="false">MIN(AD149,MAX(0,N(Debts!$E$9)))</f>
        <v>0</v>
      </c>
      <c r="AO149" s="56" t="n">
        <f aca="false">MIN(AE149,MAX(0,N(Debts!$E$10)))</f>
        <v>0</v>
      </c>
      <c r="AP149" s="56" t="n">
        <f aca="false">MIN(AF149,MAX(0,N(Debts!$E$11)))</f>
        <v>0</v>
      </c>
      <c r="AQ149" s="56" t="n">
        <f aca="false">MIN(AG149,MAX(0,N(Debts!$E$12)))</f>
        <v>0</v>
      </c>
      <c r="AR149" s="56" t="n">
        <f aca="false">MIN(AH149,MAX(0,N(Debts!$E$13)))</f>
        <v>0</v>
      </c>
      <c r="AS149" s="56" t="n">
        <f aca="false">MIN(AI149,MAX(0,N(Debts!$E$14)))</f>
        <v>0</v>
      </c>
    </row>
    <row r="150" customFormat="false" ht="15" hidden="false" customHeight="false" outlineLevel="0" collapsed="false">
      <c r="A150" s="53" t="n">
        <v>146</v>
      </c>
      <c r="B150" s="54" t="n">
        <f aca="false">EDATE('Start Here'!$B$8,145)</f>
        <v>50740</v>
      </c>
      <c r="C150" s="42" t="n">
        <f aca="false">SUM(F150:O150)</f>
        <v>0</v>
      </c>
      <c r="D150" s="42" t="n">
        <f aca="false">ROUND(SUM($Z150:$AI150)-SUM(P149:Y149),2)</f>
        <v>0</v>
      </c>
      <c r="E150" s="55" t="n">
        <f aca="false">SUM(P150:Y150)</f>
        <v>0</v>
      </c>
      <c r="F150" s="42" t="n">
        <f aca="false">AJ150+MIN(Z150-AJ150,MAX(0,'Start Here'!$B$10-SUM($AJ150:$AS150)-SUMPRODUCT(($Z$3:$AI$3&lt;Z$3)*($Z150:$AI150-$AJ150:$AS150))))</f>
        <v>0</v>
      </c>
      <c r="G150" s="42" t="n">
        <f aca="false">AK150+MIN(AA150-AK150,MAX(0,'Start Here'!$B$10-SUM($AJ150:$AS150)-SUMPRODUCT(($Z$3:$AI$3&lt;AA$3)*($Z150:$AI150-$AJ150:$AS150))))</f>
        <v>0</v>
      </c>
      <c r="H150" s="42" t="n">
        <f aca="false">AL150+MIN(AB150-AL150,MAX(0,'Start Here'!$B$10-SUM($AJ150:$AS150)-SUMPRODUCT(($Z$3:$AI$3&lt;AB$3)*($Z150:$AI150-$AJ150:$AS150))))</f>
        <v>0</v>
      </c>
      <c r="I150" s="42" t="n">
        <f aca="false">AM150+MIN(AC150-AM150,MAX(0,'Start Here'!$B$10-SUM($AJ150:$AS150)-SUMPRODUCT(($Z$3:$AI$3&lt;AC$3)*($Z150:$AI150-$AJ150:$AS150))))</f>
        <v>0</v>
      </c>
      <c r="J150" s="42" t="n">
        <f aca="false">AN150+MIN(AD150-AN150,MAX(0,'Start Here'!$B$10-SUM($AJ150:$AS150)-SUMPRODUCT(($Z$3:$AI$3&lt;AD$3)*($Z150:$AI150-$AJ150:$AS150))))</f>
        <v>0</v>
      </c>
      <c r="K150" s="42" t="n">
        <f aca="false">AO150+MIN(AE150-AO150,MAX(0,'Start Here'!$B$10-SUM($AJ150:$AS150)-SUMPRODUCT(($Z$3:$AI$3&lt;AE$3)*($Z150:$AI150-$AJ150:$AS150))))</f>
        <v>0</v>
      </c>
      <c r="L150" s="42" t="n">
        <f aca="false">AP150+MIN(AF150-AP150,MAX(0,'Start Here'!$B$10-SUM($AJ150:$AS150)-SUMPRODUCT(($Z$3:$AI$3&lt;AF$3)*($Z150:$AI150-$AJ150:$AS150))))</f>
        <v>0</v>
      </c>
      <c r="M150" s="42" t="n">
        <f aca="false">AQ150+MIN(AG150-AQ150,MAX(0,'Start Here'!$B$10-SUM($AJ150:$AS150)-SUMPRODUCT(($Z$3:$AI$3&lt;AG$3)*($Z150:$AI150-$AJ150:$AS150))))</f>
        <v>0</v>
      </c>
      <c r="N150" s="42" t="n">
        <f aca="false">AR150+MIN(AH150-AR150,MAX(0,'Start Here'!$B$10-SUM($AJ150:$AS150)-SUMPRODUCT(($Z$3:$AI$3&lt;AH$3)*($Z150:$AI150-$AJ150:$AS150))))</f>
        <v>0</v>
      </c>
      <c r="O150" s="42" t="n">
        <f aca="false">AS150+MIN(AI150-AS150,MAX(0,'Start Here'!$B$10-SUM($AJ150:$AS150)-SUMPRODUCT(($Z$3:$AI$3&lt;AI$3)*($Z150:$AI150-$AJ150:$AS150))))</f>
        <v>0</v>
      </c>
      <c r="P150" s="42" t="n">
        <f aca="false">ROUND(Z150-F150,2)</f>
        <v>0</v>
      </c>
      <c r="Q150" s="42" t="n">
        <f aca="false">ROUND(AA150-G150,2)</f>
        <v>0</v>
      </c>
      <c r="R150" s="42" t="n">
        <f aca="false">ROUND(AB150-H150,2)</f>
        <v>0</v>
      </c>
      <c r="S150" s="42" t="n">
        <f aca="false">ROUND(AC150-I150,2)</f>
        <v>0</v>
      </c>
      <c r="T150" s="42" t="n">
        <f aca="false">ROUND(AD150-J150,2)</f>
        <v>0</v>
      </c>
      <c r="U150" s="42" t="n">
        <f aca="false">ROUND(AE150-K150,2)</f>
        <v>0</v>
      </c>
      <c r="V150" s="42" t="n">
        <f aca="false">ROUND(AF150-L150,2)</f>
        <v>0</v>
      </c>
      <c r="W150" s="42" t="n">
        <f aca="false">ROUND(AG150-M150,2)</f>
        <v>0</v>
      </c>
      <c r="X150" s="42" t="n">
        <f aca="false">ROUND(AH150-N150,2)</f>
        <v>0</v>
      </c>
      <c r="Y150" s="42" t="n">
        <f aca="false">ROUND(AI150-O150,2)</f>
        <v>0</v>
      </c>
      <c r="Z150" s="56" t="n">
        <f aca="false">ROUND(P149*(1+N(Debts!$D$5)/12),2)</f>
        <v>0</v>
      </c>
      <c r="AA150" s="56" t="n">
        <f aca="false">ROUND(Q149*(1+N(Debts!$D$6)/12),2)</f>
        <v>0</v>
      </c>
      <c r="AB150" s="56" t="n">
        <f aca="false">ROUND(R149*(1+N(Debts!$D$7)/12),2)</f>
        <v>0</v>
      </c>
      <c r="AC150" s="56" t="n">
        <f aca="false">ROUND(S149*(1+N(Debts!$D$8)/12),2)</f>
        <v>0</v>
      </c>
      <c r="AD150" s="56" t="n">
        <f aca="false">ROUND(T149*(1+N(Debts!$D$9)/12),2)</f>
        <v>0</v>
      </c>
      <c r="AE150" s="56" t="n">
        <f aca="false">ROUND(U149*(1+N(Debts!$D$10)/12),2)</f>
        <v>0</v>
      </c>
      <c r="AF150" s="56" t="n">
        <f aca="false">ROUND(V149*(1+N(Debts!$D$11)/12),2)</f>
        <v>0</v>
      </c>
      <c r="AG150" s="56" t="n">
        <f aca="false">ROUND(W149*(1+N(Debts!$D$12)/12),2)</f>
        <v>0</v>
      </c>
      <c r="AH150" s="56" t="n">
        <f aca="false">ROUND(X149*(1+N(Debts!$D$13)/12),2)</f>
        <v>0</v>
      </c>
      <c r="AI150" s="56" t="n">
        <f aca="false">ROUND(Y149*(1+N(Debts!$D$14)/12),2)</f>
        <v>0</v>
      </c>
      <c r="AJ150" s="56" t="n">
        <f aca="false">MIN(Z150,MAX(0,N(Debts!$E$5)))</f>
        <v>0</v>
      </c>
      <c r="AK150" s="56" t="n">
        <f aca="false">MIN(AA150,MAX(0,N(Debts!$E$6)))</f>
        <v>0</v>
      </c>
      <c r="AL150" s="56" t="n">
        <f aca="false">MIN(AB150,MAX(0,N(Debts!$E$7)))</f>
        <v>0</v>
      </c>
      <c r="AM150" s="56" t="n">
        <f aca="false">MIN(AC150,MAX(0,N(Debts!$E$8)))</f>
        <v>0</v>
      </c>
      <c r="AN150" s="56" t="n">
        <f aca="false">MIN(AD150,MAX(0,N(Debts!$E$9)))</f>
        <v>0</v>
      </c>
      <c r="AO150" s="56" t="n">
        <f aca="false">MIN(AE150,MAX(0,N(Debts!$E$10)))</f>
        <v>0</v>
      </c>
      <c r="AP150" s="56" t="n">
        <f aca="false">MIN(AF150,MAX(0,N(Debts!$E$11)))</f>
        <v>0</v>
      </c>
      <c r="AQ150" s="56" t="n">
        <f aca="false">MIN(AG150,MAX(0,N(Debts!$E$12)))</f>
        <v>0</v>
      </c>
      <c r="AR150" s="56" t="n">
        <f aca="false">MIN(AH150,MAX(0,N(Debts!$E$13)))</f>
        <v>0</v>
      </c>
      <c r="AS150" s="56" t="n">
        <f aca="false">MIN(AI150,MAX(0,N(Debts!$E$14)))</f>
        <v>0</v>
      </c>
    </row>
    <row r="151" customFormat="false" ht="15" hidden="false" customHeight="false" outlineLevel="0" collapsed="false">
      <c r="A151" s="53" t="n">
        <v>147</v>
      </c>
      <c r="B151" s="54" t="n">
        <f aca="false">EDATE('Start Here'!$B$8,146)</f>
        <v>50771</v>
      </c>
      <c r="C151" s="42" t="n">
        <f aca="false">SUM(F151:O151)</f>
        <v>0</v>
      </c>
      <c r="D151" s="42" t="n">
        <f aca="false">ROUND(SUM($Z151:$AI151)-SUM(P150:Y150),2)</f>
        <v>0</v>
      </c>
      <c r="E151" s="55" t="n">
        <f aca="false">SUM(P151:Y151)</f>
        <v>0</v>
      </c>
      <c r="F151" s="42" t="n">
        <f aca="false">AJ151+MIN(Z151-AJ151,MAX(0,'Start Here'!$B$10-SUM($AJ151:$AS151)-SUMPRODUCT(($Z$3:$AI$3&lt;Z$3)*($Z151:$AI151-$AJ151:$AS151))))</f>
        <v>0</v>
      </c>
      <c r="G151" s="42" t="n">
        <f aca="false">AK151+MIN(AA151-AK151,MAX(0,'Start Here'!$B$10-SUM($AJ151:$AS151)-SUMPRODUCT(($Z$3:$AI$3&lt;AA$3)*($Z151:$AI151-$AJ151:$AS151))))</f>
        <v>0</v>
      </c>
      <c r="H151" s="42" t="n">
        <f aca="false">AL151+MIN(AB151-AL151,MAX(0,'Start Here'!$B$10-SUM($AJ151:$AS151)-SUMPRODUCT(($Z$3:$AI$3&lt;AB$3)*($Z151:$AI151-$AJ151:$AS151))))</f>
        <v>0</v>
      </c>
      <c r="I151" s="42" t="n">
        <f aca="false">AM151+MIN(AC151-AM151,MAX(0,'Start Here'!$B$10-SUM($AJ151:$AS151)-SUMPRODUCT(($Z$3:$AI$3&lt;AC$3)*($Z151:$AI151-$AJ151:$AS151))))</f>
        <v>0</v>
      </c>
      <c r="J151" s="42" t="n">
        <f aca="false">AN151+MIN(AD151-AN151,MAX(0,'Start Here'!$B$10-SUM($AJ151:$AS151)-SUMPRODUCT(($Z$3:$AI$3&lt;AD$3)*($Z151:$AI151-$AJ151:$AS151))))</f>
        <v>0</v>
      </c>
      <c r="K151" s="42" t="n">
        <f aca="false">AO151+MIN(AE151-AO151,MAX(0,'Start Here'!$B$10-SUM($AJ151:$AS151)-SUMPRODUCT(($Z$3:$AI$3&lt;AE$3)*($Z151:$AI151-$AJ151:$AS151))))</f>
        <v>0</v>
      </c>
      <c r="L151" s="42" t="n">
        <f aca="false">AP151+MIN(AF151-AP151,MAX(0,'Start Here'!$B$10-SUM($AJ151:$AS151)-SUMPRODUCT(($Z$3:$AI$3&lt;AF$3)*($Z151:$AI151-$AJ151:$AS151))))</f>
        <v>0</v>
      </c>
      <c r="M151" s="42" t="n">
        <f aca="false">AQ151+MIN(AG151-AQ151,MAX(0,'Start Here'!$B$10-SUM($AJ151:$AS151)-SUMPRODUCT(($Z$3:$AI$3&lt;AG$3)*($Z151:$AI151-$AJ151:$AS151))))</f>
        <v>0</v>
      </c>
      <c r="N151" s="42" t="n">
        <f aca="false">AR151+MIN(AH151-AR151,MAX(0,'Start Here'!$B$10-SUM($AJ151:$AS151)-SUMPRODUCT(($Z$3:$AI$3&lt;AH$3)*($Z151:$AI151-$AJ151:$AS151))))</f>
        <v>0</v>
      </c>
      <c r="O151" s="42" t="n">
        <f aca="false">AS151+MIN(AI151-AS151,MAX(0,'Start Here'!$B$10-SUM($AJ151:$AS151)-SUMPRODUCT(($Z$3:$AI$3&lt;AI$3)*($Z151:$AI151-$AJ151:$AS151))))</f>
        <v>0</v>
      </c>
      <c r="P151" s="42" t="n">
        <f aca="false">ROUND(Z151-F151,2)</f>
        <v>0</v>
      </c>
      <c r="Q151" s="42" t="n">
        <f aca="false">ROUND(AA151-G151,2)</f>
        <v>0</v>
      </c>
      <c r="R151" s="42" t="n">
        <f aca="false">ROUND(AB151-H151,2)</f>
        <v>0</v>
      </c>
      <c r="S151" s="42" t="n">
        <f aca="false">ROUND(AC151-I151,2)</f>
        <v>0</v>
      </c>
      <c r="T151" s="42" t="n">
        <f aca="false">ROUND(AD151-J151,2)</f>
        <v>0</v>
      </c>
      <c r="U151" s="42" t="n">
        <f aca="false">ROUND(AE151-K151,2)</f>
        <v>0</v>
      </c>
      <c r="V151" s="42" t="n">
        <f aca="false">ROUND(AF151-L151,2)</f>
        <v>0</v>
      </c>
      <c r="W151" s="42" t="n">
        <f aca="false">ROUND(AG151-M151,2)</f>
        <v>0</v>
      </c>
      <c r="X151" s="42" t="n">
        <f aca="false">ROUND(AH151-N151,2)</f>
        <v>0</v>
      </c>
      <c r="Y151" s="42" t="n">
        <f aca="false">ROUND(AI151-O151,2)</f>
        <v>0</v>
      </c>
      <c r="Z151" s="56" t="n">
        <f aca="false">ROUND(P150*(1+N(Debts!$D$5)/12),2)</f>
        <v>0</v>
      </c>
      <c r="AA151" s="56" t="n">
        <f aca="false">ROUND(Q150*(1+N(Debts!$D$6)/12),2)</f>
        <v>0</v>
      </c>
      <c r="AB151" s="56" t="n">
        <f aca="false">ROUND(R150*(1+N(Debts!$D$7)/12),2)</f>
        <v>0</v>
      </c>
      <c r="AC151" s="56" t="n">
        <f aca="false">ROUND(S150*(1+N(Debts!$D$8)/12),2)</f>
        <v>0</v>
      </c>
      <c r="AD151" s="56" t="n">
        <f aca="false">ROUND(T150*(1+N(Debts!$D$9)/12),2)</f>
        <v>0</v>
      </c>
      <c r="AE151" s="56" t="n">
        <f aca="false">ROUND(U150*(1+N(Debts!$D$10)/12),2)</f>
        <v>0</v>
      </c>
      <c r="AF151" s="56" t="n">
        <f aca="false">ROUND(V150*(1+N(Debts!$D$11)/12),2)</f>
        <v>0</v>
      </c>
      <c r="AG151" s="56" t="n">
        <f aca="false">ROUND(W150*(1+N(Debts!$D$12)/12),2)</f>
        <v>0</v>
      </c>
      <c r="AH151" s="56" t="n">
        <f aca="false">ROUND(X150*(1+N(Debts!$D$13)/12),2)</f>
        <v>0</v>
      </c>
      <c r="AI151" s="56" t="n">
        <f aca="false">ROUND(Y150*(1+N(Debts!$D$14)/12),2)</f>
        <v>0</v>
      </c>
      <c r="AJ151" s="56" t="n">
        <f aca="false">MIN(Z151,MAX(0,N(Debts!$E$5)))</f>
        <v>0</v>
      </c>
      <c r="AK151" s="56" t="n">
        <f aca="false">MIN(AA151,MAX(0,N(Debts!$E$6)))</f>
        <v>0</v>
      </c>
      <c r="AL151" s="56" t="n">
        <f aca="false">MIN(AB151,MAX(0,N(Debts!$E$7)))</f>
        <v>0</v>
      </c>
      <c r="AM151" s="56" t="n">
        <f aca="false">MIN(AC151,MAX(0,N(Debts!$E$8)))</f>
        <v>0</v>
      </c>
      <c r="AN151" s="56" t="n">
        <f aca="false">MIN(AD151,MAX(0,N(Debts!$E$9)))</f>
        <v>0</v>
      </c>
      <c r="AO151" s="56" t="n">
        <f aca="false">MIN(AE151,MAX(0,N(Debts!$E$10)))</f>
        <v>0</v>
      </c>
      <c r="AP151" s="56" t="n">
        <f aca="false">MIN(AF151,MAX(0,N(Debts!$E$11)))</f>
        <v>0</v>
      </c>
      <c r="AQ151" s="56" t="n">
        <f aca="false">MIN(AG151,MAX(0,N(Debts!$E$12)))</f>
        <v>0</v>
      </c>
      <c r="AR151" s="56" t="n">
        <f aca="false">MIN(AH151,MAX(0,N(Debts!$E$13)))</f>
        <v>0</v>
      </c>
      <c r="AS151" s="56" t="n">
        <f aca="false">MIN(AI151,MAX(0,N(Debts!$E$14)))</f>
        <v>0</v>
      </c>
    </row>
    <row r="152" customFormat="false" ht="15" hidden="false" customHeight="false" outlineLevel="0" collapsed="false">
      <c r="A152" s="53" t="n">
        <v>148</v>
      </c>
      <c r="B152" s="54" t="n">
        <f aca="false">EDATE('Start Here'!$B$8,147)</f>
        <v>50802</v>
      </c>
      <c r="C152" s="42" t="n">
        <f aca="false">SUM(F152:O152)</f>
        <v>0</v>
      </c>
      <c r="D152" s="42" t="n">
        <f aca="false">ROUND(SUM($Z152:$AI152)-SUM(P151:Y151),2)</f>
        <v>0</v>
      </c>
      <c r="E152" s="55" t="n">
        <f aca="false">SUM(P152:Y152)</f>
        <v>0</v>
      </c>
      <c r="F152" s="42" t="n">
        <f aca="false">AJ152+MIN(Z152-AJ152,MAX(0,'Start Here'!$B$10-SUM($AJ152:$AS152)-SUMPRODUCT(($Z$3:$AI$3&lt;Z$3)*($Z152:$AI152-$AJ152:$AS152))))</f>
        <v>0</v>
      </c>
      <c r="G152" s="42" t="n">
        <f aca="false">AK152+MIN(AA152-AK152,MAX(0,'Start Here'!$B$10-SUM($AJ152:$AS152)-SUMPRODUCT(($Z$3:$AI$3&lt;AA$3)*($Z152:$AI152-$AJ152:$AS152))))</f>
        <v>0</v>
      </c>
      <c r="H152" s="42" t="n">
        <f aca="false">AL152+MIN(AB152-AL152,MAX(0,'Start Here'!$B$10-SUM($AJ152:$AS152)-SUMPRODUCT(($Z$3:$AI$3&lt;AB$3)*($Z152:$AI152-$AJ152:$AS152))))</f>
        <v>0</v>
      </c>
      <c r="I152" s="42" t="n">
        <f aca="false">AM152+MIN(AC152-AM152,MAX(0,'Start Here'!$B$10-SUM($AJ152:$AS152)-SUMPRODUCT(($Z$3:$AI$3&lt;AC$3)*($Z152:$AI152-$AJ152:$AS152))))</f>
        <v>0</v>
      </c>
      <c r="J152" s="42" t="n">
        <f aca="false">AN152+MIN(AD152-AN152,MAX(0,'Start Here'!$B$10-SUM($AJ152:$AS152)-SUMPRODUCT(($Z$3:$AI$3&lt;AD$3)*($Z152:$AI152-$AJ152:$AS152))))</f>
        <v>0</v>
      </c>
      <c r="K152" s="42" t="n">
        <f aca="false">AO152+MIN(AE152-AO152,MAX(0,'Start Here'!$B$10-SUM($AJ152:$AS152)-SUMPRODUCT(($Z$3:$AI$3&lt;AE$3)*($Z152:$AI152-$AJ152:$AS152))))</f>
        <v>0</v>
      </c>
      <c r="L152" s="42" t="n">
        <f aca="false">AP152+MIN(AF152-AP152,MAX(0,'Start Here'!$B$10-SUM($AJ152:$AS152)-SUMPRODUCT(($Z$3:$AI$3&lt;AF$3)*($Z152:$AI152-$AJ152:$AS152))))</f>
        <v>0</v>
      </c>
      <c r="M152" s="42" t="n">
        <f aca="false">AQ152+MIN(AG152-AQ152,MAX(0,'Start Here'!$B$10-SUM($AJ152:$AS152)-SUMPRODUCT(($Z$3:$AI$3&lt;AG$3)*($Z152:$AI152-$AJ152:$AS152))))</f>
        <v>0</v>
      </c>
      <c r="N152" s="42" t="n">
        <f aca="false">AR152+MIN(AH152-AR152,MAX(0,'Start Here'!$B$10-SUM($AJ152:$AS152)-SUMPRODUCT(($Z$3:$AI$3&lt;AH$3)*($Z152:$AI152-$AJ152:$AS152))))</f>
        <v>0</v>
      </c>
      <c r="O152" s="42" t="n">
        <f aca="false">AS152+MIN(AI152-AS152,MAX(0,'Start Here'!$B$10-SUM($AJ152:$AS152)-SUMPRODUCT(($Z$3:$AI$3&lt;AI$3)*($Z152:$AI152-$AJ152:$AS152))))</f>
        <v>0</v>
      </c>
      <c r="P152" s="42" t="n">
        <f aca="false">ROUND(Z152-F152,2)</f>
        <v>0</v>
      </c>
      <c r="Q152" s="42" t="n">
        <f aca="false">ROUND(AA152-G152,2)</f>
        <v>0</v>
      </c>
      <c r="R152" s="42" t="n">
        <f aca="false">ROUND(AB152-H152,2)</f>
        <v>0</v>
      </c>
      <c r="S152" s="42" t="n">
        <f aca="false">ROUND(AC152-I152,2)</f>
        <v>0</v>
      </c>
      <c r="T152" s="42" t="n">
        <f aca="false">ROUND(AD152-J152,2)</f>
        <v>0</v>
      </c>
      <c r="U152" s="42" t="n">
        <f aca="false">ROUND(AE152-K152,2)</f>
        <v>0</v>
      </c>
      <c r="V152" s="42" t="n">
        <f aca="false">ROUND(AF152-L152,2)</f>
        <v>0</v>
      </c>
      <c r="W152" s="42" t="n">
        <f aca="false">ROUND(AG152-M152,2)</f>
        <v>0</v>
      </c>
      <c r="X152" s="42" t="n">
        <f aca="false">ROUND(AH152-N152,2)</f>
        <v>0</v>
      </c>
      <c r="Y152" s="42" t="n">
        <f aca="false">ROUND(AI152-O152,2)</f>
        <v>0</v>
      </c>
      <c r="Z152" s="56" t="n">
        <f aca="false">ROUND(P151*(1+N(Debts!$D$5)/12),2)</f>
        <v>0</v>
      </c>
      <c r="AA152" s="56" t="n">
        <f aca="false">ROUND(Q151*(1+N(Debts!$D$6)/12),2)</f>
        <v>0</v>
      </c>
      <c r="AB152" s="56" t="n">
        <f aca="false">ROUND(R151*(1+N(Debts!$D$7)/12),2)</f>
        <v>0</v>
      </c>
      <c r="AC152" s="56" t="n">
        <f aca="false">ROUND(S151*(1+N(Debts!$D$8)/12),2)</f>
        <v>0</v>
      </c>
      <c r="AD152" s="56" t="n">
        <f aca="false">ROUND(T151*(1+N(Debts!$D$9)/12),2)</f>
        <v>0</v>
      </c>
      <c r="AE152" s="56" t="n">
        <f aca="false">ROUND(U151*(1+N(Debts!$D$10)/12),2)</f>
        <v>0</v>
      </c>
      <c r="AF152" s="56" t="n">
        <f aca="false">ROUND(V151*(1+N(Debts!$D$11)/12),2)</f>
        <v>0</v>
      </c>
      <c r="AG152" s="56" t="n">
        <f aca="false">ROUND(W151*(1+N(Debts!$D$12)/12),2)</f>
        <v>0</v>
      </c>
      <c r="AH152" s="56" t="n">
        <f aca="false">ROUND(X151*(1+N(Debts!$D$13)/12),2)</f>
        <v>0</v>
      </c>
      <c r="AI152" s="56" t="n">
        <f aca="false">ROUND(Y151*(1+N(Debts!$D$14)/12),2)</f>
        <v>0</v>
      </c>
      <c r="AJ152" s="56" t="n">
        <f aca="false">MIN(Z152,MAX(0,N(Debts!$E$5)))</f>
        <v>0</v>
      </c>
      <c r="AK152" s="56" t="n">
        <f aca="false">MIN(AA152,MAX(0,N(Debts!$E$6)))</f>
        <v>0</v>
      </c>
      <c r="AL152" s="56" t="n">
        <f aca="false">MIN(AB152,MAX(0,N(Debts!$E$7)))</f>
        <v>0</v>
      </c>
      <c r="AM152" s="56" t="n">
        <f aca="false">MIN(AC152,MAX(0,N(Debts!$E$8)))</f>
        <v>0</v>
      </c>
      <c r="AN152" s="56" t="n">
        <f aca="false">MIN(AD152,MAX(0,N(Debts!$E$9)))</f>
        <v>0</v>
      </c>
      <c r="AO152" s="56" t="n">
        <f aca="false">MIN(AE152,MAX(0,N(Debts!$E$10)))</f>
        <v>0</v>
      </c>
      <c r="AP152" s="56" t="n">
        <f aca="false">MIN(AF152,MAX(0,N(Debts!$E$11)))</f>
        <v>0</v>
      </c>
      <c r="AQ152" s="56" t="n">
        <f aca="false">MIN(AG152,MAX(0,N(Debts!$E$12)))</f>
        <v>0</v>
      </c>
      <c r="AR152" s="56" t="n">
        <f aca="false">MIN(AH152,MAX(0,N(Debts!$E$13)))</f>
        <v>0</v>
      </c>
      <c r="AS152" s="56" t="n">
        <f aca="false">MIN(AI152,MAX(0,N(Debts!$E$14)))</f>
        <v>0</v>
      </c>
    </row>
    <row r="153" customFormat="false" ht="15" hidden="false" customHeight="false" outlineLevel="0" collapsed="false">
      <c r="A153" s="53" t="n">
        <v>149</v>
      </c>
      <c r="B153" s="54" t="n">
        <f aca="false">EDATE('Start Here'!$B$8,148)</f>
        <v>50830</v>
      </c>
      <c r="C153" s="42" t="n">
        <f aca="false">SUM(F153:O153)</f>
        <v>0</v>
      </c>
      <c r="D153" s="42" t="n">
        <f aca="false">ROUND(SUM($Z153:$AI153)-SUM(P152:Y152),2)</f>
        <v>0</v>
      </c>
      <c r="E153" s="55" t="n">
        <f aca="false">SUM(P153:Y153)</f>
        <v>0</v>
      </c>
      <c r="F153" s="42" t="n">
        <f aca="false">AJ153+MIN(Z153-AJ153,MAX(0,'Start Here'!$B$10-SUM($AJ153:$AS153)-SUMPRODUCT(($Z$3:$AI$3&lt;Z$3)*($Z153:$AI153-$AJ153:$AS153))))</f>
        <v>0</v>
      </c>
      <c r="G153" s="42" t="n">
        <f aca="false">AK153+MIN(AA153-AK153,MAX(0,'Start Here'!$B$10-SUM($AJ153:$AS153)-SUMPRODUCT(($Z$3:$AI$3&lt;AA$3)*($Z153:$AI153-$AJ153:$AS153))))</f>
        <v>0</v>
      </c>
      <c r="H153" s="42" t="n">
        <f aca="false">AL153+MIN(AB153-AL153,MAX(0,'Start Here'!$B$10-SUM($AJ153:$AS153)-SUMPRODUCT(($Z$3:$AI$3&lt;AB$3)*($Z153:$AI153-$AJ153:$AS153))))</f>
        <v>0</v>
      </c>
      <c r="I153" s="42" t="n">
        <f aca="false">AM153+MIN(AC153-AM153,MAX(0,'Start Here'!$B$10-SUM($AJ153:$AS153)-SUMPRODUCT(($Z$3:$AI$3&lt;AC$3)*($Z153:$AI153-$AJ153:$AS153))))</f>
        <v>0</v>
      </c>
      <c r="J153" s="42" t="n">
        <f aca="false">AN153+MIN(AD153-AN153,MAX(0,'Start Here'!$B$10-SUM($AJ153:$AS153)-SUMPRODUCT(($Z$3:$AI$3&lt;AD$3)*($Z153:$AI153-$AJ153:$AS153))))</f>
        <v>0</v>
      </c>
      <c r="K153" s="42" t="n">
        <f aca="false">AO153+MIN(AE153-AO153,MAX(0,'Start Here'!$B$10-SUM($AJ153:$AS153)-SUMPRODUCT(($Z$3:$AI$3&lt;AE$3)*($Z153:$AI153-$AJ153:$AS153))))</f>
        <v>0</v>
      </c>
      <c r="L153" s="42" t="n">
        <f aca="false">AP153+MIN(AF153-AP153,MAX(0,'Start Here'!$B$10-SUM($AJ153:$AS153)-SUMPRODUCT(($Z$3:$AI$3&lt;AF$3)*($Z153:$AI153-$AJ153:$AS153))))</f>
        <v>0</v>
      </c>
      <c r="M153" s="42" t="n">
        <f aca="false">AQ153+MIN(AG153-AQ153,MAX(0,'Start Here'!$B$10-SUM($AJ153:$AS153)-SUMPRODUCT(($Z$3:$AI$3&lt;AG$3)*($Z153:$AI153-$AJ153:$AS153))))</f>
        <v>0</v>
      </c>
      <c r="N153" s="42" t="n">
        <f aca="false">AR153+MIN(AH153-AR153,MAX(0,'Start Here'!$B$10-SUM($AJ153:$AS153)-SUMPRODUCT(($Z$3:$AI$3&lt;AH$3)*($Z153:$AI153-$AJ153:$AS153))))</f>
        <v>0</v>
      </c>
      <c r="O153" s="42" t="n">
        <f aca="false">AS153+MIN(AI153-AS153,MAX(0,'Start Here'!$B$10-SUM($AJ153:$AS153)-SUMPRODUCT(($Z$3:$AI$3&lt;AI$3)*($Z153:$AI153-$AJ153:$AS153))))</f>
        <v>0</v>
      </c>
      <c r="P153" s="42" t="n">
        <f aca="false">ROUND(Z153-F153,2)</f>
        <v>0</v>
      </c>
      <c r="Q153" s="42" t="n">
        <f aca="false">ROUND(AA153-G153,2)</f>
        <v>0</v>
      </c>
      <c r="R153" s="42" t="n">
        <f aca="false">ROUND(AB153-H153,2)</f>
        <v>0</v>
      </c>
      <c r="S153" s="42" t="n">
        <f aca="false">ROUND(AC153-I153,2)</f>
        <v>0</v>
      </c>
      <c r="T153" s="42" t="n">
        <f aca="false">ROUND(AD153-J153,2)</f>
        <v>0</v>
      </c>
      <c r="U153" s="42" t="n">
        <f aca="false">ROUND(AE153-K153,2)</f>
        <v>0</v>
      </c>
      <c r="V153" s="42" t="n">
        <f aca="false">ROUND(AF153-L153,2)</f>
        <v>0</v>
      </c>
      <c r="W153" s="42" t="n">
        <f aca="false">ROUND(AG153-M153,2)</f>
        <v>0</v>
      </c>
      <c r="X153" s="42" t="n">
        <f aca="false">ROUND(AH153-N153,2)</f>
        <v>0</v>
      </c>
      <c r="Y153" s="42" t="n">
        <f aca="false">ROUND(AI153-O153,2)</f>
        <v>0</v>
      </c>
      <c r="Z153" s="56" t="n">
        <f aca="false">ROUND(P152*(1+N(Debts!$D$5)/12),2)</f>
        <v>0</v>
      </c>
      <c r="AA153" s="56" t="n">
        <f aca="false">ROUND(Q152*(1+N(Debts!$D$6)/12),2)</f>
        <v>0</v>
      </c>
      <c r="AB153" s="56" t="n">
        <f aca="false">ROUND(R152*(1+N(Debts!$D$7)/12),2)</f>
        <v>0</v>
      </c>
      <c r="AC153" s="56" t="n">
        <f aca="false">ROUND(S152*(1+N(Debts!$D$8)/12),2)</f>
        <v>0</v>
      </c>
      <c r="AD153" s="56" t="n">
        <f aca="false">ROUND(T152*(1+N(Debts!$D$9)/12),2)</f>
        <v>0</v>
      </c>
      <c r="AE153" s="56" t="n">
        <f aca="false">ROUND(U152*(1+N(Debts!$D$10)/12),2)</f>
        <v>0</v>
      </c>
      <c r="AF153" s="56" t="n">
        <f aca="false">ROUND(V152*(1+N(Debts!$D$11)/12),2)</f>
        <v>0</v>
      </c>
      <c r="AG153" s="56" t="n">
        <f aca="false">ROUND(W152*(1+N(Debts!$D$12)/12),2)</f>
        <v>0</v>
      </c>
      <c r="AH153" s="56" t="n">
        <f aca="false">ROUND(X152*(1+N(Debts!$D$13)/12),2)</f>
        <v>0</v>
      </c>
      <c r="AI153" s="56" t="n">
        <f aca="false">ROUND(Y152*(1+N(Debts!$D$14)/12),2)</f>
        <v>0</v>
      </c>
      <c r="AJ153" s="56" t="n">
        <f aca="false">MIN(Z153,MAX(0,N(Debts!$E$5)))</f>
        <v>0</v>
      </c>
      <c r="AK153" s="56" t="n">
        <f aca="false">MIN(AA153,MAX(0,N(Debts!$E$6)))</f>
        <v>0</v>
      </c>
      <c r="AL153" s="56" t="n">
        <f aca="false">MIN(AB153,MAX(0,N(Debts!$E$7)))</f>
        <v>0</v>
      </c>
      <c r="AM153" s="56" t="n">
        <f aca="false">MIN(AC153,MAX(0,N(Debts!$E$8)))</f>
        <v>0</v>
      </c>
      <c r="AN153" s="56" t="n">
        <f aca="false">MIN(AD153,MAX(0,N(Debts!$E$9)))</f>
        <v>0</v>
      </c>
      <c r="AO153" s="56" t="n">
        <f aca="false">MIN(AE153,MAX(0,N(Debts!$E$10)))</f>
        <v>0</v>
      </c>
      <c r="AP153" s="56" t="n">
        <f aca="false">MIN(AF153,MAX(0,N(Debts!$E$11)))</f>
        <v>0</v>
      </c>
      <c r="AQ153" s="56" t="n">
        <f aca="false">MIN(AG153,MAX(0,N(Debts!$E$12)))</f>
        <v>0</v>
      </c>
      <c r="AR153" s="56" t="n">
        <f aca="false">MIN(AH153,MAX(0,N(Debts!$E$13)))</f>
        <v>0</v>
      </c>
      <c r="AS153" s="56" t="n">
        <f aca="false">MIN(AI153,MAX(0,N(Debts!$E$14)))</f>
        <v>0</v>
      </c>
    </row>
    <row r="154" customFormat="false" ht="15" hidden="false" customHeight="false" outlineLevel="0" collapsed="false">
      <c r="A154" s="53" t="n">
        <v>150</v>
      </c>
      <c r="B154" s="54" t="n">
        <f aca="false">EDATE('Start Here'!$B$8,149)</f>
        <v>50861</v>
      </c>
      <c r="C154" s="42" t="n">
        <f aca="false">SUM(F154:O154)</f>
        <v>0</v>
      </c>
      <c r="D154" s="42" t="n">
        <f aca="false">ROUND(SUM($Z154:$AI154)-SUM(P153:Y153),2)</f>
        <v>0</v>
      </c>
      <c r="E154" s="55" t="n">
        <f aca="false">SUM(P154:Y154)</f>
        <v>0</v>
      </c>
      <c r="F154" s="42" t="n">
        <f aca="false">AJ154+MIN(Z154-AJ154,MAX(0,'Start Here'!$B$10-SUM($AJ154:$AS154)-SUMPRODUCT(($Z$3:$AI$3&lt;Z$3)*($Z154:$AI154-$AJ154:$AS154))))</f>
        <v>0</v>
      </c>
      <c r="G154" s="42" t="n">
        <f aca="false">AK154+MIN(AA154-AK154,MAX(0,'Start Here'!$B$10-SUM($AJ154:$AS154)-SUMPRODUCT(($Z$3:$AI$3&lt;AA$3)*($Z154:$AI154-$AJ154:$AS154))))</f>
        <v>0</v>
      </c>
      <c r="H154" s="42" t="n">
        <f aca="false">AL154+MIN(AB154-AL154,MAX(0,'Start Here'!$B$10-SUM($AJ154:$AS154)-SUMPRODUCT(($Z$3:$AI$3&lt;AB$3)*($Z154:$AI154-$AJ154:$AS154))))</f>
        <v>0</v>
      </c>
      <c r="I154" s="42" t="n">
        <f aca="false">AM154+MIN(AC154-AM154,MAX(0,'Start Here'!$B$10-SUM($AJ154:$AS154)-SUMPRODUCT(($Z$3:$AI$3&lt;AC$3)*($Z154:$AI154-$AJ154:$AS154))))</f>
        <v>0</v>
      </c>
      <c r="J154" s="42" t="n">
        <f aca="false">AN154+MIN(AD154-AN154,MAX(0,'Start Here'!$B$10-SUM($AJ154:$AS154)-SUMPRODUCT(($Z$3:$AI$3&lt;AD$3)*($Z154:$AI154-$AJ154:$AS154))))</f>
        <v>0</v>
      </c>
      <c r="K154" s="42" t="n">
        <f aca="false">AO154+MIN(AE154-AO154,MAX(0,'Start Here'!$B$10-SUM($AJ154:$AS154)-SUMPRODUCT(($Z$3:$AI$3&lt;AE$3)*($Z154:$AI154-$AJ154:$AS154))))</f>
        <v>0</v>
      </c>
      <c r="L154" s="42" t="n">
        <f aca="false">AP154+MIN(AF154-AP154,MAX(0,'Start Here'!$B$10-SUM($AJ154:$AS154)-SUMPRODUCT(($Z$3:$AI$3&lt;AF$3)*($Z154:$AI154-$AJ154:$AS154))))</f>
        <v>0</v>
      </c>
      <c r="M154" s="42" t="n">
        <f aca="false">AQ154+MIN(AG154-AQ154,MAX(0,'Start Here'!$B$10-SUM($AJ154:$AS154)-SUMPRODUCT(($Z$3:$AI$3&lt;AG$3)*($Z154:$AI154-$AJ154:$AS154))))</f>
        <v>0</v>
      </c>
      <c r="N154" s="42" t="n">
        <f aca="false">AR154+MIN(AH154-AR154,MAX(0,'Start Here'!$B$10-SUM($AJ154:$AS154)-SUMPRODUCT(($Z$3:$AI$3&lt;AH$3)*($Z154:$AI154-$AJ154:$AS154))))</f>
        <v>0</v>
      </c>
      <c r="O154" s="42" t="n">
        <f aca="false">AS154+MIN(AI154-AS154,MAX(0,'Start Here'!$B$10-SUM($AJ154:$AS154)-SUMPRODUCT(($Z$3:$AI$3&lt;AI$3)*($Z154:$AI154-$AJ154:$AS154))))</f>
        <v>0</v>
      </c>
      <c r="P154" s="42" t="n">
        <f aca="false">ROUND(Z154-F154,2)</f>
        <v>0</v>
      </c>
      <c r="Q154" s="42" t="n">
        <f aca="false">ROUND(AA154-G154,2)</f>
        <v>0</v>
      </c>
      <c r="R154" s="42" t="n">
        <f aca="false">ROUND(AB154-H154,2)</f>
        <v>0</v>
      </c>
      <c r="S154" s="42" t="n">
        <f aca="false">ROUND(AC154-I154,2)</f>
        <v>0</v>
      </c>
      <c r="T154" s="42" t="n">
        <f aca="false">ROUND(AD154-J154,2)</f>
        <v>0</v>
      </c>
      <c r="U154" s="42" t="n">
        <f aca="false">ROUND(AE154-K154,2)</f>
        <v>0</v>
      </c>
      <c r="V154" s="42" t="n">
        <f aca="false">ROUND(AF154-L154,2)</f>
        <v>0</v>
      </c>
      <c r="W154" s="42" t="n">
        <f aca="false">ROUND(AG154-M154,2)</f>
        <v>0</v>
      </c>
      <c r="X154" s="42" t="n">
        <f aca="false">ROUND(AH154-N154,2)</f>
        <v>0</v>
      </c>
      <c r="Y154" s="42" t="n">
        <f aca="false">ROUND(AI154-O154,2)</f>
        <v>0</v>
      </c>
      <c r="Z154" s="56" t="n">
        <f aca="false">ROUND(P153*(1+N(Debts!$D$5)/12),2)</f>
        <v>0</v>
      </c>
      <c r="AA154" s="56" t="n">
        <f aca="false">ROUND(Q153*(1+N(Debts!$D$6)/12),2)</f>
        <v>0</v>
      </c>
      <c r="AB154" s="56" t="n">
        <f aca="false">ROUND(R153*(1+N(Debts!$D$7)/12),2)</f>
        <v>0</v>
      </c>
      <c r="AC154" s="56" t="n">
        <f aca="false">ROUND(S153*(1+N(Debts!$D$8)/12),2)</f>
        <v>0</v>
      </c>
      <c r="AD154" s="56" t="n">
        <f aca="false">ROUND(T153*(1+N(Debts!$D$9)/12),2)</f>
        <v>0</v>
      </c>
      <c r="AE154" s="56" t="n">
        <f aca="false">ROUND(U153*(1+N(Debts!$D$10)/12),2)</f>
        <v>0</v>
      </c>
      <c r="AF154" s="56" t="n">
        <f aca="false">ROUND(V153*(1+N(Debts!$D$11)/12),2)</f>
        <v>0</v>
      </c>
      <c r="AG154" s="56" t="n">
        <f aca="false">ROUND(W153*(1+N(Debts!$D$12)/12),2)</f>
        <v>0</v>
      </c>
      <c r="AH154" s="56" t="n">
        <f aca="false">ROUND(X153*(1+N(Debts!$D$13)/12),2)</f>
        <v>0</v>
      </c>
      <c r="AI154" s="56" t="n">
        <f aca="false">ROUND(Y153*(1+N(Debts!$D$14)/12),2)</f>
        <v>0</v>
      </c>
      <c r="AJ154" s="56" t="n">
        <f aca="false">MIN(Z154,MAX(0,N(Debts!$E$5)))</f>
        <v>0</v>
      </c>
      <c r="AK154" s="56" t="n">
        <f aca="false">MIN(AA154,MAX(0,N(Debts!$E$6)))</f>
        <v>0</v>
      </c>
      <c r="AL154" s="56" t="n">
        <f aca="false">MIN(AB154,MAX(0,N(Debts!$E$7)))</f>
        <v>0</v>
      </c>
      <c r="AM154" s="56" t="n">
        <f aca="false">MIN(AC154,MAX(0,N(Debts!$E$8)))</f>
        <v>0</v>
      </c>
      <c r="AN154" s="56" t="n">
        <f aca="false">MIN(AD154,MAX(0,N(Debts!$E$9)))</f>
        <v>0</v>
      </c>
      <c r="AO154" s="56" t="n">
        <f aca="false">MIN(AE154,MAX(0,N(Debts!$E$10)))</f>
        <v>0</v>
      </c>
      <c r="AP154" s="56" t="n">
        <f aca="false">MIN(AF154,MAX(0,N(Debts!$E$11)))</f>
        <v>0</v>
      </c>
      <c r="AQ154" s="56" t="n">
        <f aca="false">MIN(AG154,MAX(0,N(Debts!$E$12)))</f>
        <v>0</v>
      </c>
      <c r="AR154" s="56" t="n">
        <f aca="false">MIN(AH154,MAX(0,N(Debts!$E$13)))</f>
        <v>0</v>
      </c>
      <c r="AS154" s="56" t="n">
        <f aca="false">MIN(AI154,MAX(0,N(Debts!$E$14)))</f>
        <v>0</v>
      </c>
    </row>
    <row r="155" customFormat="false" ht="15" hidden="false" customHeight="false" outlineLevel="0" collapsed="false">
      <c r="A155" s="53" t="n">
        <v>151</v>
      </c>
      <c r="B155" s="54" t="n">
        <f aca="false">EDATE('Start Here'!$B$8,150)</f>
        <v>50891</v>
      </c>
      <c r="C155" s="42" t="n">
        <f aca="false">SUM(F155:O155)</f>
        <v>0</v>
      </c>
      <c r="D155" s="42" t="n">
        <f aca="false">ROUND(SUM($Z155:$AI155)-SUM(P154:Y154),2)</f>
        <v>0</v>
      </c>
      <c r="E155" s="55" t="n">
        <f aca="false">SUM(P155:Y155)</f>
        <v>0</v>
      </c>
      <c r="F155" s="42" t="n">
        <f aca="false">AJ155+MIN(Z155-AJ155,MAX(0,'Start Here'!$B$10-SUM($AJ155:$AS155)-SUMPRODUCT(($Z$3:$AI$3&lt;Z$3)*($Z155:$AI155-$AJ155:$AS155))))</f>
        <v>0</v>
      </c>
      <c r="G155" s="42" t="n">
        <f aca="false">AK155+MIN(AA155-AK155,MAX(0,'Start Here'!$B$10-SUM($AJ155:$AS155)-SUMPRODUCT(($Z$3:$AI$3&lt;AA$3)*($Z155:$AI155-$AJ155:$AS155))))</f>
        <v>0</v>
      </c>
      <c r="H155" s="42" t="n">
        <f aca="false">AL155+MIN(AB155-AL155,MAX(0,'Start Here'!$B$10-SUM($AJ155:$AS155)-SUMPRODUCT(($Z$3:$AI$3&lt;AB$3)*($Z155:$AI155-$AJ155:$AS155))))</f>
        <v>0</v>
      </c>
      <c r="I155" s="42" t="n">
        <f aca="false">AM155+MIN(AC155-AM155,MAX(0,'Start Here'!$B$10-SUM($AJ155:$AS155)-SUMPRODUCT(($Z$3:$AI$3&lt;AC$3)*($Z155:$AI155-$AJ155:$AS155))))</f>
        <v>0</v>
      </c>
      <c r="J155" s="42" t="n">
        <f aca="false">AN155+MIN(AD155-AN155,MAX(0,'Start Here'!$B$10-SUM($AJ155:$AS155)-SUMPRODUCT(($Z$3:$AI$3&lt;AD$3)*($Z155:$AI155-$AJ155:$AS155))))</f>
        <v>0</v>
      </c>
      <c r="K155" s="42" t="n">
        <f aca="false">AO155+MIN(AE155-AO155,MAX(0,'Start Here'!$B$10-SUM($AJ155:$AS155)-SUMPRODUCT(($Z$3:$AI$3&lt;AE$3)*($Z155:$AI155-$AJ155:$AS155))))</f>
        <v>0</v>
      </c>
      <c r="L155" s="42" t="n">
        <f aca="false">AP155+MIN(AF155-AP155,MAX(0,'Start Here'!$B$10-SUM($AJ155:$AS155)-SUMPRODUCT(($Z$3:$AI$3&lt;AF$3)*($Z155:$AI155-$AJ155:$AS155))))</f>
        <v>0</v>
      </c>
      <c r="M155" s="42" t="n">
        <f aca="false">AQ155+MIN(AG155-AQ155,MAX(0,'Start Here'!$B$10-SUM($AJ155:$AS155)-SUMPRODUCT(($Z$3:$AI$3&lt;AG$3)*($Z155:$AI155-$AJ155:$AS155))))</f>
        <v>0</v>
      </c>
      <c r="N155" s="42" t="n">
        <f aca="false">AR155+MIN(AH155-AR155,MAX(0,'Start Here'!$B$10-SUM($AJ155:$AS155)-SUMPRODUCT(($Z$3:$AI$3&lt;AH$3)*($Z155:$AI155-$AJ155:$AS155))))</f>
        <v>0</v>
      </c>
      <c r="O155" s="42" t="n">
        <f aca="false">AS155+MIN(AI155-AS155,MAX(0,'Start Here'!$B$10-SUM($AJ155:$AS155)-SUMPRODUCT(($Z$3:$AI$3&lt;AI$3)*($Z155:$AI155-$AJ155:$AS155))))</f>
        <v>0</v>
      </c>
      <c r="P155" s="42" t="n">
        <f aca="false">ROUND(Z155-F155,2)</f>
        <v>0</v>
      </c>
      <c r="Q155" s="42" t="n">
        <f aca="false">ROUND(AA155-G155,2)</f>
        <v>0</v>
      </c>
      <c r="R155" s="42" t="n">
        <f aca="false">ROUND(AB155-H155,2)</f>
        <v>0</v>
      </c>
      <c r="S155" s="42" t="n">
        <f aca="false">ROUND(AC155-I155,2)</f>
        <v>0</v>
      </c>
      <c r="T155" s="42" t="n">
        <f aca="false">ROUND(AD155-J155,2)</f>
        <v>0</v>
      </c>
      <c r="U155" s="42" t="n">
        <f aca="false">ROUND(AE155-K155,2)</f>
        <v>0</v>
      </c>
      <c r="V155" s="42" t="n">
        <f aca="false">ROUND(AF155-L155,2)</f>
        <v>0</v>
      </c>
      <c r="W155" s="42" t="n">
        <f aca="false">ROUND(AG155-M155,2)</f>
        <v>0</v>
      </c>
      <c r="X155" s="42" t="n">
        <f aca="false">ROUND(AH155-N155,2)</f>
        <v>0</v>
      </c>
      <c r="Y155" s="42" t="n">
        <f aca="false">ROUND(AI155-O155,2)</f>
        <v>0</v>
      </c>
      <c r="Z155" s="56" t="n">
        <f aca="false">ROUND(P154*(1+N(Debts!$D$5)/12),2)</f>
        <v>0</v>
      </c>
      <c r="AA155" s="56" t="n">
        <f aca="false">ROUND(Q154*(1+N(Debts!$D$6)/12),2)</f>
        <v>0</v>
      </c>
      <c r="AB155" s="56" t="n">
        <f aca="false">ROUND(R154*(1+N(Debts!$D$7)/12),2)</f>
        <v>0</v>
      </c>
      <c r="AC155" s="56" t="n">
        <f aca="false">ROUND(S154*(1+N(Debts!$D$8)/12),2)</f>
        <v>0</v>
      </c>
      <c r="AD155" s="56" t="n">
        <f aca="false">ROUND(T154*(1+N(Debts!$D$9)/12),2)</f>
        <v>0</v>
      </c>
      <c r="AE155" s="56" t="n">
        <f aca="false">ROUND(U154*(1+N(Debts!$D$10)/12),2)</f>
        <v>0</v>
      </c>
      <c r="AF155" s="56" t="n">
        <f aca="false">ROUND(V154*(1+N(Debts!$D$11)/12),2)</f>
        <v>0</v>
      </c>
      <c r="AG155" s="56" t="n">
        <f aca="false">ROUND(W154*(1+N(Debts!$D$12)/12),2)</f>
        <v>0</v>
      </c>
      <c r="AH155" s="56" t="n">
        <f aca="false">ROUND(X154*(1+N(Debts!$D$13)/12),2)</f>
        <v>0</v>
      </c>
      <c r="AI155" s="56" t="n">
        <f aca="false">ROUND(Y154*(1+N(Debts!$D$14)/12),2)</f>
        <v>0</v>
      </c>
      <c r="AJ155" s="56" t="n">
        <f aca="false">MIN(Z155,MAX(0,N(Debts!$E$5)))</f>
        <v>0</v>
      </c>
      <c r="AK155" s="56" t="n">
        <f aca="false">MIN(AA155,MAX(0,N(Debts!$E$6)))</f>
        <v>0</v>
      </c>
      <c r="AL155" s="56" t="n">
        <f aca="false">MIN(AB155,MAX(0,N(Debts!$E$7)))</f>
        <v>0</v>
      </c>
      <c r="AM155" s="56" t="n">
        <f aca="false">MIN(AC155,MAX(0,N(Debts!$E$8)))</f>
        <v>0</v>
      </c>
      <c r="AN155" s="56" t="n">
        <f aca="false">MIN(AD155,MAX(0,N(Debts!$E$9)))</f>
        <v>0</v>
      </c>
      <c r="AO155" s="56" t="n">
        <f aca="false">MIN(AE155,MAX(0,N(Debts!$E$10)))</f>
        <v>0</v>
      </c>
      <c r="AP155" s="56" t="n">
        <f aca="false">MIN(AF155,MAX(0,N(Debts!$E$11)))</f>
        <v>0</v>
      </c>
      <c r="AQ155" s="56" t="n">
        <f aca="false">MIN(AG155,MAX(0,N(Debts!$E$12)))</f>
        <v>0</v>
      </c>
      <c r="AR155" s="56" t="n">
        <f aca="false">MIN(AH155,MAX(0,N(Debts!$E$13)))</f>
        <v>0</v>
      </c>
      <c r="AS155" s="56" t="n">
        <f aca="false">MIN(AI155,MAX(0,N(Debts!$E$14)))</f>
        <v>0</v>
      </c>
    </row>
    <row r="156" customFormat="false" ht="15" hidden="false" customHeight="false" outlineLevel="0" collapsed="false">
      <c r="A156" s="53" t="n">
        <v>152</v>
      </c>
      <c r="B156" s="54" t="n">
        <f aca="false">EDATE('Start Here'!$B$8,151)</f>
        <v>50922</v>
      </c>
      <c r="C156" s="42" t="n">
        <f aca="false">SUM(F156:O156)</f>
        <v>0</v>
      </c>
      <c r="D156" s="42" t="n">
        <f aca="false">ROUND(SUM($Z156:$AI156)-SUM(P155:Y155),2)</f>
        <v>0</v>
      </c>
      <c r="E156" s="55" t="n">
        <f aca="false">SUM(P156:Y156)</f>
        <v>0</v>
      </c>
      <c r="F156" s="42" t="n">
        <f aca="false">AJ156+MIN(Z156-AJ156,MAX(0,'Start Here'!$B$10-SUM($AJ156:$AS156)-SUMPRODUCT(($Z$3:$AI$3&lt;Z$3)*($Z156:$AI156-$AJ156:$AS156))))</f>
        <v>0</v>
      </c>
      <c r="G156" s="42" t="n">
        <f aca="false">AK156+MIN(AA156-AK156,MAX(0,'Start Here'!$B$10-SUM($AJ156:$AS156)-SUMPRODUCT(($Z$3:$AI$3&lt;AA$3)*($Z156:$AI156-$AJ156:$AS156))))</f>
        <v>0</v>
      </c>
      <c r="H156" s="42" t="n">
        <f aca="false">AL156+MIN(AB156-AL156,MAX(0,'Start Here'!$B$10-SUM($AJ156:$AS156)-SUMPRODUCT(($Z$3:$AI$3&lt;AB$3)*($Z156:$AI156-$AJ156:$AS156))))</f>
        <v>0</v>
      </c>
      <c r="I156" s="42" t="n">
        <f aca="false">AM156+MIN(AC156-AM156,MAX(0,'Start Here'!$B$10-SUM($AJ156:$AS156)-SUMPRODUCT(($Z$3:$AI$3&lt;AC$3)*($Z156:$AI156-$AJ156:$AS156))))</f>
        <v>0</v>
      </c>
      <c r="J156" s="42" t="n">
        <f aca="false">AN156+MIN(AD156-AN156,MAX(0,'Start Here'!$B$10-SUM($AJ156:$AS156)-SUMPRODUCT(($Z$3:$AI$3&lt;AD$3)*($Z156:$AI156-$AJ156:$AS156))))</f>
        <v>0</v>
      </c>
      <c r="K156" s="42" t="n">
        <f aca="false">AO156+MIN(AE156-AO156,MAX(0,'Start Here'!$B$10-SUM($AJ156:$AS156)-SUMPRODUCT(($Z$3:$AI$3&lt;AE$3)*($Z156:$AI156-$AJ156:$AS156))))</f>
        <v>0</v>
      </c>
      <c r="L156" s="42" t="n">
        <f aca="false">AP156+MIN(AF156-AP156,MAX(0,'Start Here'!$B$10-SUM($AJ156:$AS156)-SUMPRODUCT(($Z$3:$AI$3&lt;AF$3)*($Z156:$AI156-$AJ156:$AS156))))</f>
        <v>0</v>
      </c>
      <c r="M156" s="42" t="n">
        <f aca="false">AQ156+MIN(AG156-AQ156,MAX(0,'Start Here'!$B$10-SUM($AJ156:$AS156)-SUMPRODUCT(($Z$3:$AI$3&lt;AG$3)*($Z156:$AI156-$AJ156:$AS156))))</f>
        <v>0</v>
      </c>
      <c r="N156" s="42" t="n">
        <f aca="false">AR156+MIN(AH156-AR156,MAX(0,'Start Here'!$B$10-SUM($AJ156:$AS156)-SUMPRODUCT(($Z$3:$AI$3&lt;AH$3)*($Z156:$AI156-$AJ156:$AS156))))</f>
        <v>0</v>
      </c>
      <c r="O156" s="42" t="n">
        <f aca="false">AS156+MIN(AI156-AS156,MAX(0,'Start Here'!$B$10-SUM($AJ156:$AS156)-SUMPRODUCT(($Z$3:$AI$3&lt;AI$3)*($Z156:$AI156-$AJ156:$AS156))))</f>
        <v>0</v>
      </c>
      <c r="P156" s="42" t="n">
        <f aca="false">ROUND(Z156-F156,2)</f>
        <v>0</v>
      </c>
      <c r="Q156" s="42" t="n">
        <f aca="false">ROUND(AA156-G156,2)</f>
        <v>0</v>
      </c>
      <c r="R156" s="42" t="n">
        <f aca="false">ROUND(AB156-H156,2)</f>
        <v>0</v>
      </c>
      <c r="S156" s="42" t="n">
        <f aca="false">ROUND(AC156-I156,2)</f>
        <v>0</v>
      </c>
      <c r="T156" s="42" t="n">
        <f aca="false">ROUND(AD156-J156,2)</f>
        <v>0</v>
      </c>
      <c r="U156" s="42" t="n">
        <f aca="false">ROUND(AE156-K156,2)</f>
        <v>0</v>
      </c>
      <c r="V156" s="42" t="n">
        <f aca="false">ROUND(AF156-L156,2)</f>
        <v>0</v>
      </c>
      <c r="W156" s="42" t="n">
        <f aca="false">ROUND(AG156-M156,2)</f>
        <v>0</v>
      </c>
      <c r="X156" s="42" t="n">
        <f aca="false">ROUND(AH156-N156,2)</f>
        <v>0</v>
      </c>
      <c r="Y156" s="42" t="n">
        <f aca="false">ROUND(AI156-O156,2)</f>
        <v>0</v>
      </c>
      <c r="Z156" s="56" t="n">
        <f aca="false">ROUND(P155*(1+N(Debts!$D$5)/12),2)</f>
        <v>0</v>
      </c>
      <c r="AA156" s="56" t="n">
        <f aca="false">ROUND(Q155*(1+N(Debts!$D$6)/12),2)</f>
        <v>0</v>
      </c>
      <c r="AB156" s="56" t="n">
        <f aca="false">ROUND(R155*(1+N(Debts!$D$7)/12),2)</f>
        <v>0</v>
      </c>
      <c r="AC156" s="56" t="n">
        <f aca="false">ROUND(S155*(1+N(Debts!$D$8)/12),2)</f>
        <v>0</v>
      </c>
      <c r="AD156" s="56" t="n">
        <f aca="false">ROUND(T155*(1+N(Debts!$D$9)/12),2)</f>
        <v>0</v>
      </c>
      <c r="AE156" s="56" t="n">
        <f aca="false">ROUND(U155*(1+N(Debts!$D$10)/12),2)</f>
        <v>0</v>
      </c>
      <c r="AF156" s="56" t="n">
        <f aca="false">ROUND(V155*(1+N(Debts!$D$11)/12),2)</f>
        <v>0</v>
      </c>
      <c r="AG156" s="56" t="n">
        <f aca="false">ROUND(W155*(1+N(Debts!$D$12)/12),2)</f>
        <v>0</v>
      </c>
      <c r="AH156" s="56" t="n">
        <f aca="false">ROUND(X155*(1+N(Debts!$D$13)/12),2)</f>
        <v>0</v>
      </c>
      <c r="AI156" s="56" t="n">
        <f aca="false">ROUND(Y155*(1+N(Debts!$D$14)/12),2)</f>
        <v>0</v>
      </c>
      <c r="AJ156" s="56" t="n">
        <f aca="false">MIN(Z156,MAX(0,N(Debts!$E$5)))</f>
        <v>0</v>
      </c>
      <c r="AK156" s="56" t="n">
        <f aca="false">MIN(AA156,MAX(0,N(Debts!$E$6)))</f>
        <v>0</v>
      </c>
      <c r="AL156" s="56" t="n">
        <f aca="false">MIN(AB156,MAX(0,N(Debts!$E$7)))</f>
        <v>0</v>
      </c>
      <c r="AM156" s="56" t="n">
        <f aca="false">MIN(AC156,MAX(0,N(Debts!$E$8)))</f>
        <v>0</v>
      </c>
      <c r="AN156" s="56" t="n">
        <f aca="false">MIN(AD156,MAX(0,N(Debts!$E$9)))</f>
        <v>0</v>
      </c>
      <c r="AO156" s="56" t="n">
        <f aca="false">MIN(AE156,MAX(0,N(Debts!$E$10)))</f>
        <v>0</v>
      </c>
      <c r="AP156" s="56" t="n">
        <f aca="false">MIN(AF156,MAX(0,N(Debts!$E$11)))</f>
        <v>0</v>
      </c>
      <c r="AQ156" s="56" t="n">
        <f aca="false">MIN(AG156,MAX(0,N(Debts!$E$12)))</f>
        <v>0</v>
      </c>
      <c r="AR156" s="56" t="n">
        <f aca="false">MIN(AH156,MAX(0,N(Debts!$E$13)))</f>
        <v>0</v>
      </c>
      <c r="AS156" s="56" t="n">
        <f aca="false">MIN(AI156,MAX(0,N(Debts!$E$14)))</f>
        <v>0</v>
      </c>
    </row>
    <row r="157" customFormat="false" ht="15" hidden="false" customHeight="false" outlineLevel="0" collapsed="false">
      <c r="A157" s="53" t="n">
        <v>153</v>
      </c>
      <c r="B157" s="54" t="n">
        <f aca="false">EDATE('Start Here'!$B$8,152)</f>
        <v>50952</v>
      </c>
      <c r="C157" s="42" t="n">
        <f aca="false">SUM(F157:O157)</f>
        <v>0</v>
      </c>
      <c r="D157" s="42" t="n">
        <f aca="false">ROUND(SUM($Z157:$AI157)-SUM(P156:Y156),2)</f>
        <v>0</v>
      </c>
      <c r="E157" s="55" t="n">
        <f aca="false">SUM(P157:Y157)</f>
        <v>0</v>
      </c>
      <c r="F157" s="42" t="n">
        <f aca="false">AJ157+MIN(Z157-AJ157,MAX(0,'Start Here'!$B$10-SUM($AJ157:$AS157)-SUMPRODUCT(($Z$3:$AI$3&lt;Z$3)*($Z157:$AI157-$AJ157:$AS157))))</f>
        <v>0</v>
      </c>
      <c r="G157" s="42" t="n">
        <f aca="false">AK157+MIN(AA157-AK157,MAX(0,'Start Here'!$B$10-SUM($AJ157:$AS157)-SUMPRODUCT(($Z$3:$AI$3&lt;AA$3)*($Z157:$AI157-$AJ157:$AS157))))</f>
        <v>0</v>
      </c>
      <c r="H157" s="42" t="n">
        <f aca="false">AL157+MIN(AB157-AL157,MAX(0,'Start Here'!$B$10-SUM($AJ157:$AS157)-SUMPRODUCT(($Z$3:$AI$3&lt;AB$3)*($Z157:$AI157-$AJ157:$AS157))))</f>
        <v>0</v>
      </c>
      <c r="I157" s="42" t="n">
        <f aca="false">AM157+MIN(AC157-AM157,MAX(0,'Start Here'!$B$10-SUM($AJ157:$AS157)-SUMPRODUCT(($Z$3:$AI$3&lt;AC$3)*($Z157:$AI157-$AJ157:$AS157))))</f>
        <v>0</v>
      </c>
      <c r="J157" s="42" t="n">
        <f aca="false">AN157+MIN(AD157-AN157,MAX(0,'Start Here'!$B$10-SUM($AJ157:$AS157)-SUMPRODUCT(($Z$3:$AI$3&lt;AD$3)*($Z157:$AI157-$AJ157:$AS157))))</f>
        <v>0</v>
      </c>
      <c r="K157" s="42" t="n">
        <f aca="false">AO157+MIN(AE157-AO157,MAX(0,'Start Here'!$B$10-SUM($AJ157:$AS157)-SUMPRODUCT(($Z$3:$AI$3&lt;AE$3)*($Z157:$AI157-$AJ157:$AS157))))</f>
        <v>0</v>
      </c>
      <c r="L157" s="42" t="n">
        <f aca="false">AP157+MIN(AF157-AP157,MAX(0,'Start Here'!$B$10-SUM($AJ157:$AS157)-SUMPRODUCT(($Z$3:$AI$3&lt;AF$3)*($Z157:$AI157-$AJ157:$AS157))))</f>
        <v>0</v>
      </c>
      <c r="M157" s="42" t="n">
        <f aca="false">AQ157+MIN(AG157-AQ157,MAX(0,'Start Here'!$B$10-SUM($AJ157:$AS157)-SUMPRODUCT(($Z$3:$AI$3&lt;AG$3)*($Z157:$AI157-$AJ157:$AS157))))</f>
        <v>0</v>
      </c>
      <c r="N157" s="42" t="n">
        <f aca="false">AR157+MIN(AH157-AR157,MAX(0,'Start Here'!$B$10-SUM($AJ157:$AS157)-SUMPRODUCT(($Z$3:$AI$3&lt;AH$3)*($Z157:$AI157-$AJ157:$AS157))))</f>
        <v>0</v>
      </c>
      <c r="O157" s="42" t="n">
        <f aca="false">AS157+MIN(AI157-AS157,MAX(0,'Start Here'!$B$10-SUM($AJ157:$AS157)-SUMPRODUCT(($Z$3:$AI$3&lt;AI$3)*($Z157:$AI157-$AJ157:$AS157))))</f>
        <v>0</v>
      </c>
      <c r="P157" s="42" t="n">
        <f aca="false">ROUND(Z157-F157,2)</f>
        <v>0</v>
      </c>
      <c r="Q157" s="42" t="n">
        <f aca="false">ROUND(AA157-G157,2)</f>
        <v>0</v>
      </c>
      <c r="R157" s="42" t="n">
        <f aca="false">ROUND(AB157-H157,2)</f>
        <v>0</v>
      </c>
      <c r="S157" s="42" t="n">
        <f aca="false">ROUND(AC157-I157,2)</f>
        <v>0</v>
      </c>
      <c r="T157" s="42" t="n">
        <f aca="false">ROUND(AD157-J157,2)</f>
        <v>0</v>
      </c>
      <c r="U157" s="42" t="n">
        <f aca="false">ROUND(AE157-K157,2)</f>
        <v>0</v>
      </c>
      <c r="V157" s="42" t="n">
        <f aca="false">ROUND(AF157-L157,2)</f>
        <v>0</v>
      </c>
      <c r="W157" s="42" t="n">
        <f aca="false">ROUND(AG157-M157,2)</f>
        <v>0</v>
      </c>
      <c r="X157" s="42" t="n">
        <f aca="false">ROUND(AH157-N157,2)</f>
        <v>0</v>
      </c>
      <c r="Y157" s="42" t="n">
        <f aca="false">ROUND(AI157-O157,2)</f>
        <v>0</v>
      </c>
      <c r="Z157" s="56" t="n">
        <f aca="false">ROUND(P156*(1+N(Debts!$D$5)/12),2)</f>
        <v>0</v>
      </c>
      <c r="AA157" s="56" t="n">
        <f aca="false">ROUND(Q156*(1+N(Debts!$D$6)/12),2)</f>
        <v>0</v>
      </c>
      <c r="AB157" s="56" t="n">
        <f aca="false">ROUND(R156*(1+N(Debts!$D$7)/12),2)</f>
        <v>0</v>
      </c>
      <c r="AC157" s="56" t="n">
        <f aca="false">ROUND(S156*(1+N(Debts!$D$8)/12),2)</f>
        <v>0</v>
      </c>
      <c r="AD157" s="56" t="n">
        <f aca="false">ROUND(T156*(1+N(Debts!$D$9)/12),2)</f>
        <v>0</v>
      </c>
      <c r="AE157" s="56" t="n">
        <f aca="false">ROUND(U156*(1+N(Debts!$D$10)/12),2)</f>
        <v>0</v>
      </c>
      <c r="AF157" s="56" t="n">
        <f aca="false">ROUND(V156*(1+N(Debts!$D$11)/12),2)</f>
        <v>0</v>
      </c>
      <c r="AG157" s="56" t="n">
        <f aca="false">ROUND(W156*(1+N(Debts!$D$12)/12),2)</f>
        <v>0</v>
      </c>
      <c r="AH157" s="56" t="n">
        <f aca="false">ROUND(X156*(1+N(Debts!$D$13)/12),2)</f>
        <v>0</v>
      </c>
      <c r="AI157" s="56" t="n">
        <f aca="false">ROUND(Y156*(1+N(Debts!$D$14)/12),2)</f>
        <v>0</v>
      </c>
      <c r="AJ157" s="56" t="n">
        <f aca="false">MIN(Z157,MAX(0,N(Debts!$E$5)))</f>
        <v>0</v>
      </c>
      <c r="AK157" s="56" t="n">
        <f aca="false">MIN(AA157,MAX(0,N(Debts!$E$6)))</f>
        <v>0</v>
      </c>
      <c r="AL157" s="56" t="n">
        <f aca="false">MIN(AB157,MAX(0,N(Debts!$E$7)))</f>
        <v>0</v>
      </c>
      <c r="AM157" s="56" t="n">
        <f aca="false">MIN(AC157,MAX(0,N(Debts!$E$8)))</f>
        <v>0</v>
      </c>
      <c r="AN157" s="56" t="n">
        <f aca="false">MIN(AD157,MAX(0,N(Debts!$E$9)))</f>
        <v>0</v>
      </c>
      <c r="AO157" s="56" t="n">
        <f aca="false">MIN(AE157,MAX(0,N(Debts!$E$10)))</f>
        <v>0</v>
      </c>
      <c r="AP157" s="56" t="n">
        <f aca="false">MIN(AF157,MAX(0,N(Debts!$E$11)))</f>
        <v>0</v>
      </c>
      <c r="AQ157" s="56" t="n">
        <f aca="false">MIN(AG157,MAX(0,N(Debts!$E$12)))</f>
        <v>0</v>
      </c>
      <c r="AR157" s="56" t="n">
        <f aca="false">MIN(AH157,MAX(0,N(Debts!$E$13)))</f>
        <v>0</v>
      </c>
      <c r="AS157" s="56" t="n">
        <f aca="false">MIN(AI157,MAX(0,N(Debts!$E$14)))</f>
        <v>0</v>
      </c>
    </row>
    <row r="158" customFormat="false" ht="15" hidden="false" customHeight="false" outlineLevel="0" collapsed="false">
      <c r="A158" s="53" t="n">
        <v>154</v>
      </c>
      <c r="B158" s="54" t="n">
        <f aca="false">EDATE('Start Here'!$B$8,153)</f>
        <v>50983</v>
      </c>
      <c r="C158" s="42" t="n">
        <f aca="false">SUM(F158:O158)</f>
        <v>0</v>
      </c>
      <c r="D158" s="42" t="n">
        <f aca="false">ROUND(SUM($Z158:$AI158)-SUM(P157:Y157),2)</f>
        <v>0</v>
      </c>
      <c r="E158" s="55" t="n">
        <f aca="false">SUM(P158:Y158)</f>
        <v>0</v>
      </c>
      <c r="F158" s="42" t="n">
        <f aca="false">AJ158+MIN(Z158-AJ158,MAX(0,'Start Here'!$B$10-SUM($AJ158:$AS158)-SUMPRODUCT(($Z$3:$AI$3&lt;Z$3)*($Z158:$AI158-$AJ158:$AS158))))</f>
        <v>0</v>
      </c>
      <c r="G158" s="42" t="n">
        <f aca="false">AK158+MIN(AA158-AK158,MAX(0,'Start Here'!$B$10-SUM($AJ158:$AS158)-SUMPRODUCT(($Z$3:$AI$3&lt;AA$3)*($Z158:$AI158-$AJ158:$AS158))))</f>
        <v>0</v>
      </c>
      <c r="H158" s="42" t="n">
        <f aca="false">AL158+MIN(AB158-AL158,MAX(0,'Start Here'!$B$10-SUM($AJ158:$AS158)-SUMPRODUCT(($Z$3:$AI$3&lt;AB$3)*($Z158:$AI158-$AJ158:$AS158))))</f>
        <v>0</v>
      </c>
      <c r="I158" s="42" t="n">
        <f aca="false">AM158+MIN(AC158-AM158,MAX(0,'Start Here'!$B$10-SUM($AJ158:$AS158)-SUMPRODUCT(($Z$3:$AI$3&lt;AC$3)*($Z158:$AI158-$AJ158:$AS158))))</f>
        <v>0</v>
      </c>
      <c r="J158" s="42" t="n">
        <f aca="false">AN158+MIN(AD158-AN158,MAX(0,'Start Here'!$B$10-SUM($AJ158:$AS158)-SUMPRODUCT(($Z$3:$AI$3&lt;AD$3)*($Z158:$AI158-$AJ158:$AS158))))</f>
        <v>0</v>
      </c>
      <c r="K158" s="42" t="n">
        <f aca="false">AO158+MIN(AE158-AO158,MAX(0,'Start Here'!$B$10-SUM($AJ158:$AS158)-SUMPRODUCT(($Z$3:$AI$3&lt;AE$3)*($Z158:$AI158-$AJ158:$AS158))))</f>
        <v>0</v>
      </c>
      <c r="L158" s="42" t="n">
        <f aca="false">AP158+MIN(AF158-AP158,MAX(0,'Start Here'!$B$10-SUM($AJ158:$AS158)-SUMPRODUCT(($Z$3:$AI$3&lt;AF$3)*($Z158:$AI158-$AJ158:$AS158))))</f>
        <v>0</v>
      </c>
      <c r="M158" s="42" t="n">
        <f aca="false">AQ158+MIN(AG158-AQ158,MAX(0,'Start Here'!$B$10-SUM($AJ158:$AS158)-SUMPRODUCT(($Z$3:$AI$3&lt;AG$3)*($Z158:$AI158-$AJ158:$AS158))))</f>
        <v>0</v>
      </c>
      <c r="N158" s="42" t="n">
        <f aca="false">AR158+MIN(AH158-AR158,MAX(0,'Start Here'!$B$10-SUM($AJ158:$AS158)-SUMPRODUCT(($Z$3:$AI$3&lt;AH$3)*($Z158:$AI158-$AJ158:$AS158))))</f>
        <v>0</v>
      </c>
      <c r="O158" s="42" t="n">
        <f aca="false">AS158+MIN(AI158-AS158,MAX(0,'Start Here'!$B$10-SUM($AJ158:$AS158)-SUMPRODUCT(($Z$3:$AI$3&lt;AI$3)*($Z158:$AI158-$AJ158:$AS158))))</f>
        <v>0</v>
      </c>
      <c r="P158" s="42" t="n">
        <f aca="false">ROUND(Z158-F158,2)</f>
        <v>0</v>
      </c>
      <c r="Q158" s="42" t="n">
        <f aca="false">ROUND(AA158-G158,2)</f>
        <v>0</v>
      </c>
      <c r="R158" s="42" t="n">
        <f aca="false">ROUND(AB158-H158,2)</f>
        <v>0</v>
      </c>
      <c r="S158" s="42" t="n">
        <f aca="false">ROUND(AC158-I158,2)</f>
        <v>0</v>
      </c>
      <c r="T158" s="42" t="n">
        <f aca="false">ROUND(AD158-J158,2)</f>
        <v>0</v>
      </c>
      <c r="U158" s="42" t="n">
        <f aca="false">ROUND(AE158-K158,2)</f>
        <v>0</v>
      </c>
      <c r="V158" s="42" t="n">
        <f aca="false">ROUND(AF158-L158,2)</f>
        <v>0</v>
      </c>
      <c r="W158" s="42" t="n">
        <f aca="false">ROUND(AG158-M158,2)</f>
        <v>0</v>
      </c>
      <c r="X158" s="42" t="n">
        <f aca="false">ROUND(AH158-N158,2)</f>
        <v>0</v>
      </c>
      <c r="Y158" s="42" t="n">
        <f aca="false">ROUND(AI158-O158,2)</f>
        <v>0</v>
      </c>
      <c r="Z158" s="56" t="n">
        <f aca="false">ROUND(P157*(1+N(Debts!$D$5)/12),2)</f>
        <v>0</v>
      </c>
      <c r="AA158" s="56" t="n">
        <f aca="false">ROUND(Q157*(1+N(Debts!$D$6)/12),2)</f>
        <v>0</v>
      </c>
      <c r="AB158" s="56" t="n">
        <f aca="false">ROUND(R157*(1+N(Debts!$D$7)/12),2)</f>
        <v>0</v>
      </c>
      <c r="AC158" s="56" t="n">
        <f aca="false">ROUND(S157*(1+N(Debts!$D$8)/12),2)</f>
        <v>0</v>
      </c>
      <c r="AD158" s="56" t="n">
        <f aca="false">ROUND(T157*(1+N(Debts!$D$9)/12),2)</f>
        <v>0</v>
      </c>
      <c r="AE158" s="56" t="n">
        <f aca="false">ROUND(U157*(1+N(Debts!$D$10)/12),2)</f>
        <v>0</v>
      </c>
      <c r="AF158" s="56" t="n">
        <f aca="false">ROUND(V157*(1+N(Debts!$D$11)/12),2)</f>
        <v>0</v>
      </c>
      <c r="AG158" s="56" t="n">
        <f aca="false">ROUND(W157*(1+N(Debts!$D$12)/12),2)</f>
        <v>0</v>
      </c>
      <c r="AH158" s="56" t="n">
        <f aca="false">ROUND(X157*(1+N(Debts!$D$13)/12),2)</f>
        <v>0</v>
      </c>
      <c r="AI158" s="56" t="n">
        <f aca="false">ROUND(Y157*(1+N(Debts!$D$14)/12),2)</f>
        <v>0</v>
      </c>
      <c r="AJ158" s="56" t="n">
        <f aca="false">MIN(Z158,MAX(0,N(Debts!$E$5)))</f>
        <v>0</v>
      </c>
      <c r="AK158" s="56" t="n">
        <f aca="false">MIN(AA158,MAX(0,N(Debts!$E$6)))</f>
        <v>0</v>
      </c>
      <c r="AL158" s="56" t="n">
        <f aca="false">MIN(AB158,MAX(0,N(Debts!$E$7)))</f>
        <v>0</v>
      </c>
      <c r="AM158" s="56" t="n">
        <f aca="false">MIN(AC158,MAX(0,N(Debts!$E$8)))</f>
        <v>0</v>
      </c>
      <c r="AN158" s="56" t="n">
        <f aca="false">MIN(AD158,MAX(0,N(Debts!$E$9)))</f>
        <v>0</v>
      </c>
      <c r="AO158" s="56" t="n">
        <f aca="false">MIN(AE158,MAX(0,N(Debts!$E$10)))</f>
        <v>0</v>
      </c>
      <c r="AP158" s="56" t="n">
        <f aca="false">MIN(AF158,MAX(0,N(Debts!$E$11)))</f>
        <v>0</v>
      </c>
      <c r="AQ158" s="56" t="n">
        <f aca="false">MIN(AG158,MAX(0,N(Debts!$E$12)))</f>
        <v>0</v>
      </c>
      <c r="AR158" s="56" t="n">
        <f aca="false">MIN(AH158,MAX(0,N(Debts!$E$13)))</f>
        <v>0</v>
      </c>
      <c r="AS158" s="56" t="n">
        <f aca="false">MIN(AI158,MAX(0,N(Debts!$E$14)))</f>
        <v>0</v>
      </c>
    </row>
    <row r="159" customFormat="false" ht="15" hidden="false" customHeight="false" outlineLevel="0" collapsed="false">
      <c r="A159" s="53" t="n">
        <v>155</v>
      </c>
      <c r="B159" s="54" t="n">
        <f aca="false">EDATE('Start Here'!$B$8,154)</f>
        <v>51014</v>
      </c>
      <c r="C159" s="42" t="n">
        <f aca="false">SUM(F159:O159)</f>
        <v>0</v>
      </c>
      <c r="D159" s="42" t="n">
        <f aca="false">ROUND(SUM($Z159:$AI159)-SUM(P158:Y158),2)</f>
        <v>0</v>
      </c>
      <c r="E159" s="55" t="n">
        <f aca="false">SUM(P159:Y159)</f>
        <v>0</v>
      </c>
      <c r="F159" s="42" t="n">
        <f aca="false">AJ159+MIN(Z159-AJ159,MAX(0,'Start Here'!$B$10-SUM($AJ159:$AS159)-SUMPRODUCT(($Z$3:$AI$3&lt;Z$3)*($Z159:$AI159-$AJ159:$AS159))))</f>
        <v>0</v>
      </c>
      <c r="G159" s="42" t="n">
        <f aca="false">AK159+MIN(AA159-AK159,MAX(0,'Start Here'!$B$10-SUM($AJ159:$AS159)-SUMPRODUCT(($Z$3:$AI$3&lt;AA$3)*($Z159:$AI159-$AJ159:$AS159))))</f>
        <v>0</v>
      </c>
      <c r="H159" s="42" t="n">
        <f aca="false">AL159+MIN(AB159-AL159,MAX(0,'Start Here'!$B$10-SUM($AJ159:$AS159)-SUMPRODUCT(($Z$3:$AI$3&lt;AB$3)*($Z159:$AI159-$AJ159:$AS159))))</f>
        <v>0</v>
      </c>
      <c r="I159" s="42" t="n">
        <f aca="false">AM159+MIN(AC159-AM159,MAX(0,'Start Here'!$B$10-SUM($AJ159:$AS159)-SUMPRODUCT(($Z$3:$AI$3&lt;AC$3)*($Z159:$AI159-$AJ159:$AS159))))</f>
        <v>0</v>
      </c>
      <c r="J159" s="42" t="n">
        <f aca="false">AN159+MIN(AD159-AN159,MAX(0,'Start Here'!$B$10-SUM($AJ159:$AS159)-SUMPRODUCT(($Z$3:$AI$3&lt;AD$3)*($Z159:$AI159-$AJ159:$AS159))))</f>
        <v>0</v>
      </c>
      <c r="K159" s="42" t="n">
        <f aca="false">AO159+MIN(AE159-AO159,MAX(0,'Start Here'!$B$10-SUM($AJ159:$AS159)-SUMPRODUCT(($Z$3:$AI$3&lt;AE$3)*($Z159:$AI159-$AJ159:$AS159))))</f>
        <v>0</v>
      </c>
      <c r="L159" s="42" t="n">
        <f aca="false">AP159+MIN(AF159-AP159,MAX(0,'Start Here'!$B$10-SUM($AJ159:$AS159)-SUMPRODUCT(($Z$3:$AI$3&lt;AF$3)*($Z159:$AI159-$AJ159:$AS159))))</f>
        <v>0</v>
      </c>
      <c r="M159" s="42" t="n">
        <f aca="false">AQ159+MIN(AG159-AQ159,MAX(0,'Start Here'!$B$10-SUM($AJ159:$AS159)-SUMPRODUCT(($Z$3:$AI$3&lt;AG$3)*($Z159:$AI159-$AJ159:$AS159))))</f>
        <v>0</v>
      </c>
      <c r="N159" s="42" t="n">
        <f aca="false">AR159+MIN(AH159-AR159,MAX(0,'Start Here'!$B$10-SUM($AJ159:$AS159)-SUMPRODUCT(($Z$3:$AI$3&lt;AH$3)*($Z159:$AI159-$AJ159:$AS159))))</f>
        <v>0</v>
      </c>
      <c r="O159" s="42" t="n">
        <f aca="false">AS159+MIN(AI159-AS159,MAX(0,'Start Here'!$B$10-SUM($AJ159:$AS159)-SUMPRODUCT(($Z$3:$AI$3&lt;AI$3)*($Z159:$AI159-$AJ159:$AS159))))</f>
        <v>0</v>
      </c>
      <c r="P159" s="42" t="n">
        <f aca="false">ROUND(Z159-F159,2)</f>
        <v>0</v>
      </c>
      <c r="Q159" s="42" t="n">
        <f aca="false">ROUND(AA159-G159,2)</f>
        <v>0</v>
      </c>
      <c r="R159" s="42" t="n">
        <f aca="false">ROUND(AB159-H159,2)</f>
        <v>0</v>
      </c>
      <c r="S159" s="42" t="n">
        <f aca="false">ROUND(AC159-I159,2)</f>
        <v>0</v>
      </c>
      <c r="T159" s="42" t="n">
        <f aca="false">ROUND(AD159-J159,2)</f>
        <v>0</v>
      </c>
      <c r="U159" s="42" t="n">
        <f aca="false">ROUND(AE159-K159,2)</f>
        <v>0</v>
      </c>
      <c r="V159" s="42" t="n">
        <f aca="false">ROUND(AF159-L159,2)</f>
        <v>0</v>
      </c>
      <c r="W159" s="42" t="n">
        <f aca="false">ROUND(AG159-M159,2)</f>
        <v>0</v>
      </c>
      <c r="X159" s="42" t="n">
        <f aca="false">ROUND(AH159-N159,2)</f>
        <v>0</v>
      </c>
      <c r="Y159" s="42" t="n">
        <f aca="false">ROUND(AI159-O159,2)</f>
        <v>0</v>
      </c>
      <c r="Z159" s="56" t="n">
        <f aca="false">ROUND(P158*(1+N(Debts!$D$5)/12),2)</f>
        <v>0</v>
      </c>
      <c r="AA159" s="56" t="n">
        <f aca="false">ROUND(Q158*(1+N(Debts!$D$6)/12),2)</f>
        <v>0</v>
      </c>
      <c r="AB159" s="56" t="n">
        <f aca="false">ROUND(R158*(1+N(Debts!$D$7)/12),2)</f>
        <v>0</v>
      </c>
      <c r="AC159" s="56" t="n">
        <f aca="false">ROUND(S158*(1+N(Debts!$D$8)/12),2)</f>
        <v>0</v>
      </c>
      <c r="AD159" s="56" t="n">
        <f aca="false">ROUND(T158*(1+N(Debts!$D$9)/12),2)</f>
        <v>0</v>
      </c>
      <c r="AE159" s="56" t="n">
        <f aca="false">ROUND(U158*(1+N(Debts!$D$10)/12),2)</f>
        <v>0</v>
      </c>
      <c r="AF159" s="56" t="n">
        <f aca="false">ROUND(V158*(1+N(Debts!$D$11)/12),2)</f>
        <v>0</v>
      </c>
      <c r="AG159" s="56" t="n">
        <f aca="false">ROUND(W158*(1+N(Debts!$D$12)/12),2)</f>
        <v>0</v>
      </c>
      <c r="AH159" s="56" t="n">
        <f aca="false">ROUND(X158*(1+N(Debts!$D$13)/12),2)</f>
        <v>0</v>
      </c>
      <c r="AI159" s="56" t="n">
        <f aca="false">ROUND(Y158*(1+N(Debts!$D$14)/12),2)</f>
        <v>0</v>
      </c>
      <c r="AJ159" s="56" t="n">
        <f aca="false">MIN(Z159,MAX(0,N(Debts!$E$5)))</f>
        <v>0</v>
      </c>
      <c r="AK159" s="56" t="n">
        <f aca="false">MIN(AA159,MAX(0,N(Debts!$E$6)))</f>
        <v>0</v>
      </c>
      <c r="AL159" s="56" t="n">
        <f aca="false">MIN(AB159,MAX(0,N(Debts!$E$7)))</f>
        <v>0</v>
      </c>
      <c r="AM159" s="56" t="n">
        <f aca="false">MIN(AC159,MAX(0,N(Debts!$E$8)))</f>
        <v>0</v>
      </c>
      <c r="AN159" s="56" t="n">
        <f aca="false">MIN(AD159,MAX(0,N(Debts!$E$9)))</f>
        <v>0</v>
      </c>
      <c r="AO159" s="56" t="n">
        <f aca="false">MIN(AE159,MAX(0,N(Debts!$E$10)))</f>
        <v>0</v>
      </c>
      <c r="AP159" s="56" t="n">
        <f aca="false">MIN(AF159,MAX(0,N(Debts!$E$11)))</f>
        <v>0</v>
      </c>
      <c r="AQ159" s="56" t="n">
        <f aca="false">MIN(AG159,MAX(0,N(Debts!$E$12)))</f>
        <v>0</v>
      </c>
      <c r="AR159" s="56" t="n">
        <f aca="false">MIN(AH159,MAX(0,N(Debts!$E$13)))</f>
        <v>0</v>
      </c>
      <c r="AS159" s="56" t="n">
        <f aca="false">MIN(AI159,MAX(0,N(Debts!$E$14)))</f>
        <v>0</v>
      </c>
    </row>
    <row r="160" customFormat="false" ht="15" hidden="false" customHeight="false" outlineLevel="0" collapsed="false">
      <c r="A160" s="53" t="n">
        <v>156</v>
      </c>
      <c r="B160" s="54" t="n">
        <f aca="false">EDATE('Start Here'!$B$8,155)</f>
        <v>51044</v>
      </c>
      <c r="C160" s="42" t="n">
        <f aca="false">SUM(F160:O160)</f>
        <v>0</v>
      </c>
      <c r="D160" s="42" t="n">
        <f aca="false">ROUND(SUM($Z160:$AI160)-SUM(P159:Y159),2)</f>
        <v>0</v>
      </c>
      <c r="E160" s="55" t="n">
        <f aca="false">SUM(P160:Y160)</f>
        <v>0</v>
      </c>
      <c r="F160" s="42" t="n">
        <f aca="false">AJ160+MIN(Z160-AJ160,MAX(0,'Start Here'!$B$10-SUM($AJ160:$AS160)-SUMPRODUCT(($Z$3:$AI$3&lt;Z$3)*($Z160:$AI160-$AJ160:$AS160))))</f>
        <v>0</v>
      </c>
      <c r="G160" s="42" t="n">
        <f aca="false">AK160+MIN(AA160-AK160,MAX(0,'Start Here'!$B$10-SUM($AJ160:$AS160)-SUMPRODUCT(($Z$3:$AI$3&lt;AA$3)*($Z160:$AI160-$AJ160:$AS160))))</f>
        <v>0</v>
      </c>
      <c r="H160" s="42" t="n">
        <f aca="false">AL160+MIN(AB160-AL160,MAX(0,'Start Here'!$B$10-SUM($AJ160:$AS160)-SUMPRODUCT(($Z$3:$AI$3&lt;AB$3)*($Z160:$AI160-$AJ160:$AS160))))</f>
        <v>0</v>
      </c>
      <c r="I160" s="42" t="n">
        <f aca="false">AM160+MIN(AC160-AM160,MAX(0,'Start Here'!$B$10-SUM($AJ160:$AS160)-SUMPRODUCT(($Z$3:$AI$3&lt;AC$3)*($Z160:$AI160-$AJ160:$AS160))))</f>
        <v>0</v>
      </c>
      <c r="J160" s="42" t="n">
        <f aca="false">AN160+MIN(AD160-AN160,MAX(0,'Start Here'!$B$10-SUM($AJ160:$AS160)-SUMPRODUCT(($Z$3:$AI$3&lt;AD$3)*($Z160:$AI160-$AJ160:$AS160))))</f>
        <v>0</v>
      </c>
      <c r="K160" s="42" t="n">
        <f aca="false">AO160+MIN(AE160-AO160,MAX(0,'Start Here'!$B$10-SUM($AJ160:$AS160)-SUMPRODUCT(($Z$3:$AI$3&lt;AE$3)*($Z160:$AI160-$AJ160:$AS160))))</f>
        <v>0</v>
      </c>
      <c r="L160" s="42" t="n">
        <f aca="false">AP160+MIN(AF160-AP160,MAX(0,'Start Here'!$B$10-SUM($AJ160:$AS160)-SUMPRODUCT(($Z$3:$AI$3&lt;AF$3)*($Z160:$AI160-$AJ160:$AS160))))</f>
        <v>0</v>
      </c>
      <c r="M160" s="42" t="n">
        <f aca="false">AQ160+MIN(AG160-AQ160,MAX(0,'Start Here'!$B$10-SUM($AJ160:$AS160)-SUMPRODUCT(($Z$3:$AI$3&lt;AG$3)*($Z160:$AI160-$AJ160:$AS160))))</f>
        <v>0</v>
      </c>
      <c r="N160" s="42" t="n">
        <f aca="false">AR160+MIN(AH160-AR160,MAX(0,'Start Here'!$B$10-SUM($AJ160:$AS160)-SUMPRODUCT(($Z$3:$AI$3&lt;AH$3)*($Z160:$AI160-$AJ160:$AS160))))</f>
        <v>0</v>
      </c>
      <c r="O160" s="42" t="n">
        <f aca="false">AS160+MIN(AI160-AS160,MAX(0,'Start Here'!$B$10-SUM($AJ160:$AS160)-SUMPRODUCT(($Z$3:$AI$3&lt;AI$3)*($Z160:$AI160-$AJ160:$AS160))))</f>
        <v>0</v>
      </c>
      <c r="P160" s="42" t="n">
        <f aca="false">ROUND(Z160-F160,2)</f>
        <v>0</v>
      </c>
      <c r="Q160" s="42" t="n">
        <f aca="false">ROUND(AA160-G160,2)</f>
        <v>0</v>
      </c>
      <c r="R160" s="42" t="n">
        <f aca="false">ROUND(AB160-H160,2)</f>
        <v>0</v>
      </c>
      <c r="S160" s="42" t="n">
        <f aca="false">ROUND(AC160-I160,2)</f>
        <v>0</v>
      </c>
      <c r="T160" s="42" t="n">
        <f aca="false">ROUND(AD160-J160,2)</f>
        <v>0</v>
      </c>
      <c r="U160" s="42" t="n">
        <f aca="false">ROUND(AE160-K160,2)</f>
        <v>0</v>
      </c>
      <c r="V160" s="42" t="n">
        <f aca="false">ROUND(AF160-L160,2)</f>
        <v>0</v>
      </c>
      <c r="W160" s="42" t="n">
        <f aca="false">ROUND(AG160-M160,2)</f>
        <v>0</v>
      </c>
      <c r="X160" s="42" t="n">
        <f aca="false">ROUND(AH160-N160,2)</f>
        <v>0</v>
      </c>
      <c r="Y160" s="42" t="n">
        <f aca="false">ROUND(AI160-O160,2)</f>
        <v>0</v>
      </c>
      <c r="Z160" s="56" t="n">
        <f aca="false">ROUND(P159*(1+N(Debts!$D$5)/12),2)</f>
        <v>0</v>
      </c>
      <c r="AA160" s="56" t="n">
        <f aca="false">ROUND(Q159*(1+N(Debts!$D$6)/12),2)</f>
        <v>0</v>
      </c>
      <c r="AB160" s="56" t="n">
        <f aca="false">ROUND(R159*(1+N(Debts!$D$7)/12),2)</f>
        <v>0</v>
      </c>
      <c r="AC160" s="56" t="n">
        <f aca="false">ROUND(S159*(1+N(Debts!$D$8)/12),2)</f>
        <v>0</v>
      </c>
      <c r="AD160" s="56" t="n">
        <f aca="false">ROUND(T159*(1+N(Debts!$D$9)/12),2)</f>
        <v>0</v>
      </c>
      <c r="AE160" s="56" t="n">
        <f aca="false">ROUND(U159*(1+N(Debts!$D$10)/12),2)</f>
        <v>0</v>
      </c>
      <c r="AF160" s="56" t="n">
        <f aca="false">ROUND(V159*(1+N(Debts!$D$11)/12),2)</f>
        <v>0</v>
      </c>
      <c r="AG160" s="56" t="n">
        <f aca="false">ROUND(W159*(1+N(Debts!$D$12)/12),2)</f>
        <v>0</v>
      </c>
      <c r="AH160" s="56" t="n">
        <f aca="false">ROUND(X159*(1+N(Debts!$D$13)/12),2)</f>
        <v>0</v>
      </c>
      <c r="AI160" s="56" t="n">
        <f aca="false">ROUND(Y159*(1+N(Debts!$D$14)/12),2)</f>
        <v>0</v>
      </c>
      <c r="AJ160" s="56" t="n">
        <f aca="false">MIN(Z160,MAX(0,N(Debts!$E$5)))</f>
        <v>0</v>
      </c>
      <c r="AK160" s="56" t="n">
        <f aca="false">MIN(AA160,MAX(0,N(Debts!$E$6)))</f>
        <v>0</v>
      </c>
      <c r="AL160" s="56" t="n">
        <f aca="false">MIN(AB160,MAX(0,N(Debts!$E$7)))</f>
        <v>0</v>
      </c>
      <c r="AM160" s="56" t="n">
        <f aca="false">MIN(AC160,MAX(0,N(Debts!$E$8)))</f>
        <v>0</v>
      </c>
      <c r="AN160" s="56" t="n">
        <f aca="false">MIN(AD160,MAX(0,N(Debts!$E$9)))</f>
        <v>0</v>
      </c>
      <c r="AO160" s="56" t="n">
        <f aca="false">MIN(AE160,MAX(0,N(Debts!$E$10)))</f>
        <v>0</v>
      </c>
      <c r="AP160" s="56" t="n">
        <f aca="false">MIN(AF160,MAX(0,N(Debts!$E$11)))</f>
        <v>0</v>
      </c>
      <c r="AQ160" s="56" t="n">
        <f aca="false">MIN(AG160,MAX(0,N(Debts!$E$12)))</f>
        <v>0</v>
      </c>
      <c r="AR160" s="56" t="n">
        <f aca="false">MIN(AH160,MAX(0,N(Debts!$E$13)))</f>
        <v>0</v>
      </c>
      <c r="AS160" s="56" t="n">
        <f aca="false">MIN(AI160,MAX(0,N(Debts!$E$14)))</f>
        <v>0</v>
      </c>
    </row>
    <row r="161" customFormat="false" ht="15" hidden="false" customHeight="false" outlineLevel="0" collapsed="false">
      <c r="A161" s="53" t="n">
        <v>157</v>
      </c>
      <c r="B161" s="54" t="n">
        <f aca="false">EDATE('Start Here'!$B$8,156)</f>
        <v>51075</v>
      </c>
      <c r="C161" s="42" t="n">
        <f aca="false">SUM(F161:O161)</f>
        <v>0</v>
      </c>
      <c r="D161" s="42" t="n">
        <f aca="false">ROUND(SUM($Z161:$AI161)-SUM(P160:Y160),2)</f>
        <v>0</v>
      </c>
      <c r="E161" s="55" t="n">
        <f aca="false">SUM(P161:Y161)</f>
        <v>0</v>
      </c>
      <c r="F161" s="42" t="n">
        <f aca="false">AJ161+MIN(Z161-AJ161,MAX(0,'Start Here'!$B$10-SUM($AJ161:$AS161)-SUMPRODUCT(($Z$3:$AI$3&lt;Z$3)*($Z161:$AI161-$AJ161:$AS161))))</f>
        <v>0</v>
      </c>
      <c r="G161" s="42" t="n">
        <f aca="false">AK161+MIN(AA161-AK161,MAX(0,'Start Here'!$B$10-SUM($AJ161:$AS161)-SUMPRODUCT(($Z$3:$AI$3&lt;AA$3)*($Z161:$AI161-$AJ161:$AS161))))</f>
        <v>0</v>
      </c>
      <c r="H161" s="42" t="n">
        <f aca="false">AL161+MIN(AB161-AL161,MAX(0,'Start Here'!$B$10-SUM($AJ161:$AS161)-SUMPRODUCT(($Z$3:$AI$3&lt;AB$3)*($Z161:$AI161-$AJ161:$AS161))))</f>
        <v>0</v>
      </c>
      <c r="I161" s="42" t="n">
        <f aca="false">AM161+MIN(AC161-AM161,MAX(0,'Start Here'!$B$10-SUM($AJ161:$AS161)-SUMPRODUCT(($Z$3:$AI$3&lt;AC$3)*($Z161:$AI161-$AJ161:$AS161))))</f>
        <v>0</v>
      </c>
      <c r="J161" s="42" t="n">
        <f aca="false">AN161+MIN(AD161-AN161,MAX(0,'Start Here'!$B$10-SUM($AJ161:$AS161)-SUMPRODUCT(($Z$3:$AI$3&lt;AD$3)*($Z161:$AI161-$AJ161:$AS161))))</f>
        <v>0</v>
      </c>
      <c r="K161" s="42" t="n">
        <f aca="false">AO161+MIN(AE161-AO161,MAX(0,'Start Here'!$B$10-SUM($AJ161:$AS161)-SUMPRODUCT(($Z$3:$AI$3&lt;AE$3)*($Z161:$AI161-$AJ161:$AS161))))</f>
        <v>0</v>
      </c>
      <c r="L161" s="42" t="n">
        <f aca="false">AP161+MIN(AF161-AP161,MAX(0,'Start Here'!$B$10-SUM($AJ161:$AS161)-SUMPRODUCT(($Z$3:$AI$3&lt;AF$3)*($Z161:$AI161-$AJ161:$AS161))))</f>
        <v>0</v>
      </c>
      <c r="M161" s="42" t="n">
        <f aca="false">AQ161+MIN(AG161-AQ161,MAX(0,'Start Here'!$B$10-SUM($AJ161:$AS161)-SUMPRODUCT(($Z$3:$AI$3&lt;AG$3)*($Z161:$AI161-$AJ161:$AS161))))</f>
        <v>0</v>
      </c>
      <c r="N161" s="42" t="n">
        <f aca="false">AR161+MIN(AH161-AR161,MAX(0,'Start Here'!$B$10-SUM($AJ161:$AS161)-SUMPRODUCT(($Z$3:$AI$3&lt;AH$3)*($Z161:$AI161-$AJ161:$AS161))))</f>
        <v>0</v>
      </c>
      <c r="O161" s="42" t="n">
        <f aca="false">AS161+MIN(AI161-AS161,MAX(0,'Start Here'!$B$10-SUM($AJ161:$AS161)-SUMPRODUCT(($Z$3:$AI$3&lt;AI$3)*($Z161:$AI161-$AJ161:$AS161))))</f>
        <v>0</v>
      </c>
      <c r="P161" s="42" t="n">
        <f aca="false">ROUND(Z161-F161,2)</f>
        <v>0</v>
      </c>
      <c r="Q161" s="42" t="n">
        <f aca="false">ROUND(AA161-G161,2)</f>
        <v>0</v>
      </c>
      <c r="R161" s="42" t="n">
        <f aca="false">ROUND(AB161-H161,2)</f>
        <v>0</v>
      </c>
      <c r="S161" s="42" t="n">
        <f aca="false">ROUND(AC161-I161,2)</f>
        <v>0</v>
      </c>
      <c r="T161" s="42" t="n">
        <f aca="false">ROUND(AD161-J161,2)</f>
        <v>0</v>
      </c>
      <c r="U161" s="42" t="n">
        <f aca="false">ROUND(AE161-K161,2)</f>
        <v>0</v>
      </c>
      <c r="V161" s="42" t="n">
        <f aca="false">ROUND(AF161-L161,2)</f>
        <v>0</v>
      </c>
      <c r="W161" s="42" t="n">
        <f aca="false">ROUND(AG161-M161,2)</f>
        <v>0</v>
      </c>
      <c r="X161" s="42" t="n">
        <f aca="false">ROUND(AH161-N161,2)</f>
        <v>0</v>
      </c>
      <c r="Y161" s="42" t="n">
        <f aca="false">ROUND(AI161-O161,2)</f>
        <v>0</v>
      </c>
      <c r="Z161" s="56" t="n">
        <f aca="false">ROUND(P160*(1+N(Debts!$D$5)/12),2)</f>
        <v>0</v>
      </c>
      <c r="AA161" s="56" t="n">
        <f aca="false">ROUND(Q160*(1+N(Debts!$D$6)/12),2)</f>
        <v>0</v>
      </c>
      <c r="AB161" s="56" t="n">
        <f aca="false">ROUND(R160*(1+N(Debts!$D$7)/12),2)</f>
        <v>0</v>
      </c>
      <c r="AC161" s="56" t="n">
        <f aca="false">ROUND(S160*(1+N(Debts!$D$8)/12),2)</f>
        <v>0</v>
      </c>
      <c r="AD161" s="56" t="n">
        <f aca="false">ROUND(T160*(1+N(Debts!$D$9)/12),2)</f>
        <v>0</v>
      </c>
      <c r="AE161" s="56" t="n">
        <f aca="false">ROUND(U160*(1+N(Debts!$D$10)/12),2)</f>
        <v>0</v>
      </c>
      <c r="AF161" s="56" t="n">
        <f aca="false">ROUND(V160*(1+N(Debts!$D$11)/12),2)</f>
        <v>0</v>
      </c>
      <c r="AG161" s="56" t="n">
        <f aca="false">ROUND(W160*(1+N(Debts!$D$12)/12),2)</f>
        <v>0</v>
      </c>
      <c r="AH161" s="56" t="n">
        <f aca="false">ROUND(X160*(1+N(Debts!$D$13)/12),2)</f>
        <v>0</v>
      </c>
      <c r="AI161" s="56" t="n">
        <f aca="false">ROUND(Y160*(1+N(Debts!$D$14)/12),2)</f>
        <v>0</v>
      </c>
      <c r="AJ161" s="56" t="n">
        <f aca="false">MIN(Z161,MAX(0,N(Debts!$E$5)))</f>
        <v>0</v>
      </c>
      <c r="AK161" s="56" t="n">
        <f aca="false">MIN(AA161,MAX(0,N(Debts!$E$6)))</f>
        <v>0</v>
      </c>
      <c r="AL161" s="56" t="n">
        <f aca="false">MIN(AB161,MAX(0,N(Debts!$E$7)))</f>
        <v>0</v>
      </c>
      <c r="AM161" s="56" t="n">
        <f aca="false">MIN(AC161,MAX(0,N(Debts!$E$8)))</f>
        <v>0</v>
      </c>
      <c r="AN161" s="56" t="n">
        <f aca="false">MIN(AD161,MAX(0,N(Debts!$E$9)))</f>
        <v>0</v>
      </c>
      <c r="AO161" s="56" t="n">
        <f aca="false">MIN(AE161,MAX(0,N(Debts!$E$10)))</f>
        <v>0</v>
      </c>
      <c r="AP161" s="56" t="n">
        <f aca="false">MIN(AF161,MAX(0,N(Debts!$E$11)))</f>
        <v>0</v>
      </c>
      <c r="AQ161" s="56" t="n">
        <f aca="false">MIN(AG161,MAX(0,N(Debts!$E$12)))</f>
        <v>0</v>
      </c>
      <c r="AR161" s="56" t="n">
        <f aca="false">MIN(AH161,MAX(0,N(Debts!$E$13)))</f>
        <v>0</v>
      </c>
      <c r="AS161" s="56" t="n">
        <f aca="false">MIN(AI161,MAX(0,N(Debts!$E$14)))</f>
        <v>0</v>
      </c>
    </row>
    <row r="162" customFormat="false" ht="15" hidden="false" customHeight="false" outlineLevel="0" collapsed="false">
      <c r="A162" s="53" t="n">
        <v>158</v>
      </c>
      <c r="B162" s="54" t="n">
        <f aca="false">EDATE('Start Here'!$B$8,157)</f>
        <v>51105</v>
      </c>
      <c r="C162" s="42" t="n">
        <f aca="false">SUM(F162:O162)</f>
        <v>0</v>
      </c>
      <c r="D162" s="42" t="n">
        <f aca="false">ROUND(SUM($Z162:$AI162)-SUM(P161:Y161),2)</f>
        <v>0</v>
      </c>
      <c r="E162" s="55" t="n">
        <f aca="false">SUM(P162:Y162)</f>
        <v>0</v>
      </c>
      <c r="F162" s="42" t="n">
        <f aca="false">AJ162+MIN(Z162-AJ162,MAX(0,'Start Here'!$B$10-SUM($AJ162:$AS162)-SUMPRODUCT(($Z$3:$AI$3&lt;Z$3)*($Z162:$AI162-$AJ162:$AS162))))</f>
        <v>0</v>
      </c>
      <c r="G162" s="42" t="n">
        <f aca="false">AK162+MIN(AA162-AK162,MAX(0,'Start Here'!$B$10-SUM($AJ162:$AS162)-SUMPRODUCT(($Z$3:$AI$3&lt;AA$3)*($Z162:$AI162-$AJ162:$AS162))))</f>
        <v>0</v>
      </c>
      <c r="H162" s="42" t="n">
        <f aca="false">AL162+MIN(AB162-AL162,MAX(0,'Start Here'!$B$10-SUM($AJ162:$AS162)-SUMPRODUCT(($Z$3:$AI$3&lt;AB$3)*($Z162:$AI162-$AJ162:$AS162))))</f>
        <v>0</v>
      </c>
      <c r="I162" s="42" t="n">
        <f aca="false">AM162+MIN(AC162-AM162,MAX(0,'Start Here'!$B$10-SUM($AJ162:$AS162)-SUMPRODUCT(($Z$3:$AI$3&lt;AC$3)*($Z162:$AI162-$AJ162:$AS162))))</f>
        <v>0</v>
      </c>
      <c r="J162" s="42" t="n">
        <f aca="false">AN162+MIN(AD162-AN162,MAX(0,'Start Here'!$B$10-SUM($AJ162:$AS162)-SUMPRODUCT(($Z$3:$AI$3&lt;AD$3)*($Z162:$AI162-$AJ162:$AS162))))</f>
        <v>0</v>
      </c>
      <c r="K162" s="42" t="n">
        <f aca="false">AO162+MIN(AE162-AO162,MAX(0,'Start Here'!$B$10-SUM($AJ162:$AS162)-SUMPRODUCT(($Z$3:$AI$3&lt;AE$3)*($Z162:$AI162-$AJ162:$AS162))))</f>
        <v>0</v>
      </c>
      <c r="L162" s="42" t="n">
        <f aca="false">AP162+MIN(AF162-AP162,MAX(0,'Start Here'!$B$10-SUM($AJ162:$AS162)-SUMPRODUCT(($Z$3:$AI$3&lt;AF$3)*($Z162:$AI162-$AJ162:$AS162))))</f>
        <v>0</v>
      </c>
      <c r="M162" s="42" t="n">
        <f aca="false">AQ162+MIN(AG162-AQ162,MAX(0,'Start Here'!$B$10-SUM($AJ162:$AS162)-SUMPRODUCT(($Z$3:$AI$3&lt;AG$3)*($Z162:$AI162-$AJ162:$AS162))))</f>
        <v>0</v>
      </c>
      <c r="N162" s="42" t="n">
        <f aca="false">AR162+MIN(AH162-AR162,MAX(0,'Start Here'!$B$10-SUM($AJ162:$AS162)-SUMPRODUCT(($Z$3:$AI$3&lt;AH$3)*($Z162:$AI162-$AJ162:$AS162))))</f>
        <v>0</v>
      </c>
      <c r="O162" s="42" t="n">
        <f aca="false">AS162+MIN(AI162-AS162,MAX(0,'Start Here'!$B$10-SUM($AJ162:$AS162)-SUMPRODUCT(($Z$3:$AI$3&lt;AI$3)*($Z162:$AI162-$AJ162:$AS162))))</f>
        <v>0</v>
      </c>
      <c r="P162" s="42" t="n">
        <f aca="false">ROUND(Z162-F162,2)</f>
        <v>0</v>
      </c>
      <c r="Q162" s="42" t="n">
        <f aca="false">ROUND(AA162-G162,2)</f>
        <v>0</v>
      </c>
      <c r="R162" s="42" t="n">
        <f aca="false">ROUND(AB162-H162,2)</f>
        <v>0</v>
      </c>
      <c r="S162" s="42" t="n">
        <f aca="false">ROUND(AC162-I162,2)</f>
        <v>0</v>
      </c>
      <c r="T162" s="42" t="n">
        <f aca="false">ROUND(AD162-J162,2)</f>
        <v>0</v>
      </c>
      <c r="U162" s="42" t="n">
        <f aca="false">ROUND(AE162-K162,2)</f>
        <v>0</v>
      </c>
      <c r="V162" s="42" t="n">
        <f aca="false">ROUND(AF162-L162,2)</f>
        <v>0</v>
      </c>
      <c r="W162" s="42" t="n">
        <f aca="false">ROUND(AG162-M162,2)</f>
        <v>0</v>
      </c>
      <c r="X162" s="42" t="n">
        <f aca="false">ROUND(AH162-N162,2)</f>
        <v>0</v>
      </c>
      <c r="Y162" s="42" t="n">
        <f aca="false">ROUND(AI162-O162,2)</f>
        <v>0</v>
      </c>
      <c r="Z162" s="56" t="n">
        <f aca="false">ROUND(P161*(1+N(Debts!$D$5)/12),2)</f>
        <v>0</v>
      </c>
      <c r="AA162" s="56" t="n">
        <f aca="false">ROUND(Q161*(1+N(Debts!$D$6)/12),2)</f>
        <v>0</v>
      </c>
      <c r="AB162" s="56" t="n">
        <f aca="false">ROUND(R161*(1+N(Debts!$D$7)/12),2)</f>
        <v>0</v>
      </c>
      <c r="AC162" s="56" t="n">
        <f aca="false">ROUND(S161*(1+N(Debts!$D$8)/12),2)</f>
        <v>0</v>
      </c>
      <c r="AD162" s="56" t="n">
        <f aca="false">ROUND(T161*(1+N(Debts!$D$9)/12),2)</f>
        <v>0</v>
      </c>
      <c r="AE162" s="56" t="n">
        <f aca="false">ROUND(U161*(1+N(Debts!$D$10)/12),2)</f>
        <v>0</v>
      </c>
      <c r="AF162" s="56" t="n">
        <f aca="false">ROUND(V161*(1+N(Debts!$D$11)/12),2)</f>
        <v>0</v>
      </c>
      <c r="AG162" s="56" t="n">
        <f aca="false">ROUND(W161*(1+N(Debts!$D$12)/12),2)</f>
        <v>0</v>
      </c>
      <c r="AH162" s="56" t="n">
        <f aca="false">ROUND(X161*(1+N(Debts!$D$13)/12),2)</f>
        <v>0</v>
      </c>
      <c r="AI162" s="56" t="n">
        <f aca="false">ROUND(Y161*(1+N(Debts!$D$14)/12),2)</f>
        <v>0</v>
      </c>
      <c r="AJ162" s="56" t="n">
        <f aca="false">MIN(Z162,MAX(0,N(Debts!$E$5)))</f>
        <v>0</v>
      </c>
      <c r="AK162" s="56" t="n">
        <f aca="false">MIN(AA162,MAX(0,N(Debts!$E$6)))</f>
        <v>0</v>
      </c>
      <c r="AL162" s="56" t="n">
        <f aca="false">MIN(AB162,MAX(0,N(Debts!$E$7)))</f>
        <v>0</v>
      </c>
      <c r="AM162" s="56" t="n">
        <f aca="false">MIN(AC162,MAX(0,N(Debts!$E$8)))</f>
        <v>0</v>
      </c>
      <c r="AN162" s="56" t="n">
        <f aca="false">MIN(AD162,MAX(0,N(Debts!$E$9)))</f>
        <v>0</v>
      </c>
      <c r="AO162" s="56" t="n">
        <f aca="false">MIN(AE162,MAX(0,N(Debts!$E$10)))</f>
        <v>0</v>
      </c>
      <c r="AP162" s="56" t="n">
        <f aca="false">MIN(AF162,MAX(0,N(Debts!$E$11)))</f>
        <v>0</v>
      </c>
      <c r="AQ162" s="56" t="n">
        <f aca="false">MIN(AG162,MAX(0,N(Debts!$E$12)))</f>
        <v>0</v>
      </c>
      <c r="AR162" s="56" t="n">
        <f aca="false">MIN(AH162,MAX(0,N(Debts!$E$13)))</f>
        <v>0</v>
      </c>
      <c r="AS162" s="56" t="n">
        <f aca="false">MIN(AI162,MAX(0,N(Debts!$E$14)))</f>
        <v>0</v>
      </c>
    </row>
    <row r="163" customFormat="false" ht="15" hidden="false" customHeight="false" outlineLevel="0" collapsed="false">
      <c r="A163" s="53" t="n">
        <v>159</v>
      </c>
      <c r="B163" s="54" t="n">
        <f aca="false">EDATE('Start Here'!$B$8,158)</f>
        <v>51136</v>
      </c>
      <c r="C163" s="42" t="n">
        <f aca="false">SUM(F163:O163)</f>
        <v>0</v>
      </c>
      <c r="D163" s="42" t="n">
        <f aca="false">ROUND(SUM($Z163:$AI163)-SUM(P162:Y162),2)</f>
        <v>0</v>
      </c>
      <c r="E163" s="55" t="n">
        <f aca="false">SUM(P163:Y163)</f>
        <v>0</v>
      </c>
      <c r="F163" s="42" t="n">
        <f aca="false">AJ163+MIN(Z163-AJ163,MAX(0,'Start Here'!$B$10-SUM($AJ163:$AS163)-SUMPRODUCT(($Z$3:$AI$3&lt;Z$3)*($Z163:$AI163-$AJ163:$AS163))))</f>
        <v>0</v>
      </c>
      <c r="G163" s="42" t="n">
        <f aca="false">AK163+MIN(AA163-AK163,MAX(0,'Start Here'!$B$10-SUM($AJ163:$AS163)-SUMPRODUCT(($Z$3:$AI$3&lt;AA$3)*($Z163:$AI163-$AJ163:$AS163))))</f>
        <v>0</v>
      </c>
      <c r="H163" s="42" t="n">
        <f aca="false">AL163+MIN(AB163-AL163,MAX(0,'Start Here'!$B$10-SUM($AJ163:$AS163)-SUMPRODUCT(($Z$3:$AI$3&lt;AB$3)*($Z163:$AI163-$AJ163:$AS163))))</f>
        <v>0</v>
      </c>
      <c r="I163" s="42" t="n">
        <f aca="false">AM163+MIN(AC163-AM163,MAX(0,'Start Here'!$B$10-SUM($AJ163:$AS163)-SUMPRODUCT(($Z$3:$AI$3&lt;AC$3)*($Z163:$AI163-$AJ163:$AS163))))</f>
        <v>0</v>
      </c>
      <c r="J163" s="42" t="n">
        <f aca="false">AN163+MIN(AD163-AN163,MAX(0,'Start Here'!$B$10-SUM($AJ163:$AS163)-SUMPRODUCT(($Z$3:$AI$3&lt;AD$3)*($Z163:$AI163-$AJ163:$AS163))))</f>
        <v>0</v>
      </c>
      <c r="K163" s="42" t="n">
        <f aca="false">AO163+MIN(AE163-AO163,MAX(0,'Start Here'!$B$10-SUM($AJ163:$AS163)-SUMPRODUCT(($Z$3:$AI$3&lt;AE$3)*($Z163:$AI163-$AJ163:$AS163))))</f>
        <v>0</v>
      </c>
      <c r="L163" s="42" t="n">
        <f aca="false">AP163+MIN(AF163-AP163,MAX(0,'Start Here'!$B$10-SUM($AJ163:$AS163)-SUMPRODUCT(($Z$3:$AI$3&lt;AF$3)*($Z163:$AI163-$AJ163:$AS163))))</f>
        <v>0</v>
      </c>
      <c r="M163" s="42" t="n">
        <f aca="false">AQ163+MIN(AG163-AQ163,MAX(0,'Start Here'!$B$10-SUM($AJ163:$AS163)-SUMPRODUCT(($Z$3:$AI$3&lt;AG$3)*($Z163:$AI163-$AJ163:$AS163))))</f>
        <v>0</v>
      </c>
      <c r="N163" s="42" t="n">
        <f aca="false">AR163+MIN(AH163-AR163,MAX(0,'Start Here'!$B$10-SUM($AJ163:$AS163)-SUMPRODUCT(($Z$3:$AI$3&lt;AH$3)*($Z163:$AI163-$AJ163:$AS163))))</f>
        <v>0</v>
      </c>
      <c r="O163" s="42" t="n">
        <f aca="false">AS163+MIN(AI163-AS163,MAX(0,'Start Here'!$B$10-SUM($AJ163:$AS163)-SUMPRODUCT(($Z$3:$AI$3&lt;AI$3)*($Z163:$AI163-$AJ163:$AS163))))</f>
        <v>0</v>
      </c>
      <c r="P163" s="42" t="n">
        <f aca="false">ROUND(Z163-F163,2)</f>
        <v>0</v>
      </c>
      <c r="Q163" s="42" t="n">
        <f aca="false">ROUND(AA163-G163,2)</f>
        <v>0</v>
      </c>
      <c r="R163" s="42" t="n">
        <f aca="false">ROUND(AB163-H163,2)</f>
        <v>0</v>
      </c>
      <c r="S163" s="42" t="n">
        <f aca="false">ROUND(AC163-I163,2)</f>
        <v>0</v>
      </c>
      <c r="T163" s="42" t="n">
        <f aca="false">ROUND(AD163-J163,2)</f>
        <v>0</v>
      </c>
      <c r="U163" s="42" t="n">
        <f aca="false">ROUND(AE163-K163,2)</f>
        <v>0</v>
      </c>
      <c r="V163" s="42" t="n">
        <f aca="false">ROUND(AF163-L163,2)</f>
        <v>0</v>
      </c>
      <c r="W163" s="42" t="n">
        <f aca="false">ROUND(AG163-M163,2)</f>
        <v>0</v>
      </c>
      <c r="X163" s="42" t="n">
        <f aca="false">ROUND(AH163-N163,2)</f>
        <v>0</v>
      </c>
      <c r="Y163" s="42" t="n">
        <f aca="false">ROUND(AI163-O163,2)</f>
        <v>0</v>
      </c>
      <c r="Z163" s="56" t="n">
        <f aca="false">ROUND(P162*(1+N(Debts!$D$5)/12),2)</f>
        <v>0</v>
      </c>
      <c r="AA163" s="56" t="n">
        <f aca="false">ROUND(Q162*(1+N(Debts!$D$6)/12),2)</f>
        <v>0</v>
      </c>
      <c r="AB163" s="56" t="n">
        <f aca="false">ROUND(R162*(1+N(Debts!$D$7)/12),2)</f>
        <v>0</v>
      </c>
      <c r="AC163" s="56" t="n">
        <f aca="false">ROUND(S162*(1+N(Debts!$D$8)/12),2)</f>
        <v>0</v>
      </c>
      <c r="AD163" s="56" t="n">
        <f aca="false">ROUND(T162*(1+N(Debts!$D$9)/12),2)</f>
        <v>0</v>
      </c>
      <c r="AE163" s="56" t="n">
        <f aca="false">ROUND(U162*(1+N(Debts!$D$10)/12),2)</f>
        <v>0</v>
      </c>
      <c r="AF163" s="56" t="n">
        <f aca="false">ROUND(V162*(1+N(Debts!$D$11)/12),2)</f>
        <v>0</v>
      </c>
      <c r="AG163" s="56" t="n">
        <f aca="false">ROUND(W162*(1+N(Debts!$D$12)/12),2)</f>
        <v>0</v>
      </c>
      <c r="AH163" s="56" t="n">
        <f aca="false">ROUND(X162*(1+N(Debts!$D$13)/12),2)</f>
        <v>0</v>
      </c>
      <c r="AI163" s="56" t="n">
        <f aca="false">ROUND(Y162*(1+N(Debts!$D$14)/12),2)</f>
        <v>0</v>
      </c>
      <c r="AJ163" s="56" t="n">
        <f aca="false">MIN(Z163,MAX(0,N(Debts!$E$5)))</f>
        <v>0</v>
      </c>
      <c r="AK163" s="56" t="n">
        <f aca="false">MIN(AA163,MAX(0,N(Debts!$E$6)))</f>
        <v>0</v>
      </c>
      <c r="AL163" s="56" t="n">
        <f aca="false">MIN(AB163,MAX(0,N(Debts!$E$7)))</f>
        <v>0</v>
      </c>
      <c r="AM163" s="56" t="n">
        <f aca="false">MIN(AC163,MAX(0,N(Debts!$E$8)))</f>
        <v>0</v>
      </c>
      <c r="AN163" s="56" t="n">
        <f aca="false">MIN(AD163,MAX(0,N(Debts!$E$9)))</f>
        <v>0</v>
      </c>
      <c r="AO163" s="56" t="n">
        <f aca="false">MIN(AE163,MAX(0,N(Debts!$E$10)))</f>
        <v>0</v>
      </c>
      <c r="AP163" s="56" t="n">
        <f aca="false">MIN(AF163,MAX(0,N(Debts!$E$11)))</f>
        <v>0</v>
      </c>
      <c r="AQ163" s="56" t="n">
        <f aca="false">MIN(AG163,MAX(0,N(Debts!$E$12)))</f>
        <v>0</v>
      </c>
      <c r="AR163" s="56" t="n">
        <f aca="false">MIN(AH163,MAX(0,N(Debts!$E$13)))</f>
        <v>0</v>
      </c>
      <c r="AS163" s="56" t="n">
        <f aca="false">MIN(AI163,MAX(0,N(Debts!$E$14)))</f>
        <v>0</v>
      </c>
    </row>
    <row r="164" customFormat="false" ht="15" hidden="false" customHeight="false" outlineLevel="0" collapsed="false">
      <c r="A164" s="53" t="n">
        <v>160</v>
      </c>
      <c r="B164" s="54" t="n">
        <f aca="false">EDATE('Start Here'!$B$8,159)</f>
        <v>51167</v>
      </c>
      <c r="C164" s="42" t="n">
        <f aca="false">SUM(F164:O164)</f>
        <v>0</v>
      </c>
      <c r="D164" s="42" t="n">
        <f aca="false">ROUND(SUM($Z164:$AI164)-SUM(P163:Y163),2)</f>
        <v>0</v>
      </c>
      <c r="E164" s="55" t="n">
        <f aca="false">SUM(P164:Y164)</f>
        <v>0</v>
      </c>
      <c r="F164" s="42" t="n">
        <f aca="false">AJ164+MIN(Z164-AJ164,MAX(0,'Start Here'!$B$10-SUM($AJ164:$AS164)-SUMPRODUCT(($Z$3:$AI$3&lt;Z$3)*($Z164:$AI164-$AJ164:$AS164))))</f>
        <v>0</v>
      </c>
      <c r="G164" s="42" t="n">
        <f aca="false">AK164+MIN(AA164-AK164,MAX(0,'Start Here'!$B$10-SUM($AJ164:$AS164)-SUMPRODUCT(($Z$3:$AI$3&lt;AA$3)*($Z164:$AI164-$AJ164:$AS164))))</f>
        <v>0</v>
      </c>
      <c r="H164" s="42" t="n">
        <f aca="false">AL164+MIN(AB164-AL164,MAX(0,'Start Here'!$B$10-SUM($AJ164:$AS164)-SUMPRODUCT(($Z$3:$AI$3&lt;AB$3)*($Z164:$AI164-$AJ164:$AS164))))</f>
        <v>0</v>
      </c>
      <c r="I164" s="42" t="n">
        <f aca="false">AM164+MIN(AC164-AM164,MAX(0,'Start Here'!$B$10-SUM($AJ164:$AS164)-SUMPRODUCT(($Z$3:$AI$3&lt;AC$3)*($Z164:$AI164-$AJ164:$AS164))))</f>
        <v>0</v>
      </c>
      <c r="J164" s="42" t="n">
        <f aca="false">AN164+MIN(AD164-AN164,MAX(0,'Start Here'!$B$10-SUM($AJ164:$AS164)-SUMPRODUCT(($Z$3:$AI$3&lt;AD$3)*($Z164:$AI164-$AJ164:$AS164))))</f>
        <v>0</v>
      </c>
      <c r="K164" s="42" t="n">
        <f aca="false">AO164+MIN(AE164-AO164,MAX(0,'Start Here'!$B$10-SUM($AJ164:$AS164)-SUMPRODUCT(($Z$3:$AI$3&lt;AE$3)*($Z164:$AI164-$AJ164:$AS164))))</f>
        <v>0</v>
      </c>
      <c r="L164" s="42" t="n">
        <f aca="false">AP164+MIN(AF164-AP164,MAX(0,'Start Here'!$B$10-SUM($AJ164:$AS164)-SUMPRODUCT(($Z$3:$AI$3&lt;AF$3)*($Z164:$AI164-$AJ164:$AS164))))</f>
        <v>0</v>
      </c>
      <c r="M164" s="42" t="n">
        <f aca="false">AQ164+MIN(AG164-AQ164,MAX(0,'Start Here'!$B$10-SUM($AJ164:$AS164)-SUMPRODUCT(($Z$3:$AI$3&lt;AG$3)*($Z164:$AI164-$AJ164:$AS164))))</f>
        <v>0</v>
      </c>
      <c r="N164" s="42" t="n">
        <f aca="false">AR164+MIN(AH164-AR164,MAX(0,'Start Here'!$B$10-SUM($AJ164:$AS164)-SUMPRODUCT(($Z$3:$AI$3&lt;AH$3)*($Z164:$AI164-$AJ164:$AS164))))</f>
        <v>0</v>
      </c>
      <c r="O164" s="42" t="n">
        <f aca="false">AS164+MIN(AI164-AS164,MAX(0,'Start Here'!$B$10-SUM($AJ164:$AS164)-SUMPRODUCT(($Z$3:$AI$3&lt;AI$3)*($Z164:$AI164-$AJ164:$AS164))))</f>
        <v>0</v>
      </c>
      <c r="P164" s="42" t="n">
        <f aca="false">ROUND(Z164-F164,2)</f>
        <v>0</v>
      </c>
      <c r="Q164" s="42" t="n">
        <f aca="false">ROUND(AA164-G164,2)</f>
        <v>0</v>
      </c>
      <c r="R164" s="42" t="n">
        <f aca="false">ROUND(AB164-H164,2)</f>
        <v>0</v>
      </c>
      <c r="S164" s="42" t="n">
        <f aca="false">ROUND(AC164-I164,2)</f>
        <v>0</v>
      </c>
      <c r="T164" s="42" t="n">
        <f aca="false">ROUND(AD164-J164,2)</f>
        <v>0</v>
      </c>
      <c r="U164" s="42" t="n">
        <f aca="false">ROUND(AE164-K164,2)</f>
        <v>0</v>
      </c>
      <c r="V164" s="42" t="n">
        <f aca="false">ROUND(AF164-L164,2)</f>
        <v>0</v>
      </c>
      <c r="W164" s="42" t="n">
        <f aca="false">ROUND(AG164-M164,2)</f>
        <v>0</v>
      </c>
      <c r="X164" s="42" t="n">
        <f aca="false">ROUND(AH164-N164,2)</f>
        <v>0</v>
      </c>
      <c r="Y164" s="42" t="n">
        <f aca="false">ROUND(AI164-O164,2)</f>
        <v>0</v>
      </c>
      <c r="Z164" s="56" t="n">
        <f aca="false">ROUND(P163*(1+N(Debts!$D$5)/12),2)</f>
        <v>0</v>
      </c>
      <c r="AA164" s="56" t="n">
        <f aca="false">ROUND(Q163*(1+N(Debts!$D$6)/12),2)</f>
        <v>0</v>
      </c>
      <c r="AB164" s="56" t="n">
        <f aca="false">ROUND(R163*(1+N(Debts!$D$7)/12),2)</f>
        <v>0</v>
      </c>
      <c r="AC164" s="56" t="n">
        <f aca="false">ROUND(S163*(1+N(Debts!$D$8)/12),2)</f>
        <v>0</v>
      </c>
      <c r="AD164" s="56" t="n">
        <f aca="false">ROUND(T163*(1+N(Debts!$D$9)/12),2)</f>
        <v>0</v>
      </c>
      <c r="AE164" s="56" t="n">
        <f aca="false">ROUND(U163*(1+N(Debts!$D$10)/12),2)</f>
        <v>0</v>
      </c>
      <c r="AF164" s="56" t="n">
        <f aca="false">ROUND(V163*(1+N(Debts!$D$11)/12),2)</f>
        <v>0</v>
      </c>
      <c r="AG164" s="56" t="n">
        <f aca="false">ROUND(W163*(1+N(Debts!$D$12)/12),2)</f>
        <v>0</v>
      </c>
      <c r="AH164" s="56" t="n">
        <f aca="false">ROUND(X163*(1+N(Debts!$D$13)/12),2)</f>
        <v>0</v>
      </c>
      <c r="AI164" s="56" t="n">
        <f aca="false">ROUND(Y163*(1+N(Debts!$D$14)/12),2)</f>
        <v>0</v>
      </c>
      <c r="AJ164" s="56" t="n">
        <f aca="false">MIN(Z164,MAX(0,N(Debts!$E$5)))</f>
        <v>0</v>
      </c>
      <c r="AK164" s="56" t="n">
        <f aca="false">MIN(AA164,MAX(0,N(Debts!$E$6)))</f>
        <v>0</v>
      </c>
      <c r="AL164" s="56" t="n">
        <f aca="false">MIN(AB164,MAX(0,N(Debts!$E$7)))</f>
        <v>0</v>
      </c>
      <c r="AM164" s="56" t="n">
        <f aca="false">MIN(AC164,MAX(0,N(Debts!$E$8)))</f>
        <v>0</v>
      </c>
      <c r="AN164" s="56" t="n">
        <f aca="false">MIN(AD164,MAX(0,N(Debts!$E$9)))</f>
        <v>0</v>
      </c>
      <c r="AO164" s="56" t="n">
        <f aca="false">MIN(AE164,MAX(0,N(Debts!$E$10)))</f>
        <v>0</v>
      </c>
      <c r="AP164" s="56" t="n">
        <f aca="false">MIN(AF164,MAX(0,N(Debts!$E$11)))</f>
        <v>0</v>
      </c>
      <c r="AQ164" s="56" t="n">
        <f aca="false">MIN(AG164,MAX(0,N(Debts!$E$12)))</f>
        <v>0</v>
      </c>
      <c r="AR164" s="56" t="n">
        <f aca="false">MIN(AH164,MAX(0,N(Debts!$E$13)))</f>
        <v>0</v>
      </c>
      <c r="AS164" s="56" t="n">
        <f aca="false">MIN(AI164,MAX(0,N(Debts!$E$14)))</f>
        <v>0</v>
      </c>
    </row>
    <row r="165" customFormat="false" ht="15" hidden="false" customHeight="false" outlineLevel="0" collapsed="false">
      <c r="A165" s="53" t="n">
        <v>161</v>
      </c>
      <c r="B165" s="54" t="n">
        <f aca="false">EDATE('Start Here'!$B$8,160)</f>
        <v>51196</v>
      </c>
      <c r="C165" s="42" t="n">
        <f aca="false">SUM(F165:O165)</f>
        <v>0</v>
      </c>
      <c r="D165" s="42" t="n">
        <f aca="false">ROUND(SUM($Z165:$AI165)-SUM(P164:Y164),2)</f>
        <v>0</v>
      </c>
      <c r="E165" s="55" t="n">
        <f aca="false">SUM(P165:Y165)</f>
        <v>0</v>
      </c>
      <c r="F165" s="42" t="n">
        <f aca="false">AJ165+MIN(Z165-AJ165,MAX(0,'Start Here'!$B$10-SUM($AJ165:$AS165)-SUMPRODUCT(($Z$3:$AI$3&lt;Z$3)*($Z165:$AI165-$AJ165:$AS165))))</f>
        <v>0</v>
      </c>
      <c r="G165" s="42" t="n">
        <f aca="false">AK165+MIN(AA165-AK165,MAX(0,'Start Here'!$B$10-SUM($AJ165:$AS165)-SUMPRODUCT(($Z$3:$AI$3&lt;AA$3)*($Z165:$AI165-$AJ165:$AS165))))</f>
        <v>0</v>
      </c>
      <c r="H165" s="42" t="n">
        <f aca="false">AL165+MIN(AB165-AL165,MAX(0,'Start Here'!$B$10-SUM($AJ165:$AS165)-SUMPRODUCT(($Z$3:$AI$3&lt;AB$3)*($Z165:$AI165-$AJ165:$AS165))))</f>
        <v>0</v>
      </c>
      <c r="I165" s="42" t="n">
        <f aca="false">AM165+MIN(AC165-AM165,MAX(0,'Start Here'!$B$10-SUM($AJ165:$AS165)-SUMPRODUCT(($Z$3:$AI$3&lt;AC$3)*($Z165:$AI165-$AJ165:$AS165))))</f>
        <v>0</v>
      </c>
      <c r="J165" s="42" t="n">
        <f aca="false">AN165+MIN(AD165-AN165,MAX(0,'Start Here'!$B$10-SUM($AJ165:$AS165)-SUMPRODUCT(($Z$3:$AI$3&lt;AD$3)*($Z165:$AI165-$AJ165:$AS165))))</f>
        <v>0</v>
      </c>
      <c r="K165" s="42" t="n">
        <f aca="false">AO165+MIN(AE165-AO165,MAX(0,'Start Here'!$B$10-SUM($AJ165:$AS165)-SUMPRODUCT(($Z$3:$AI$3&lt;AE$3)*($Z165:$AI165-$AJ165:$AS165))))</f>
        <v>0</v>
      </c>
      <c r="L165" s="42" t="n">
        <f aca="false">AP165+MIN(AF165-AP165,MAX(0,'Start Here'!$B$10-SUM($AJ165:$AS165)-SUMPRODUCT(($Z$3:$AI$3&lt;AF$3)*($Z165:$AI165-$AJ165:$AS165))))</f>
        <v>0</v>
      </c>
      <c r="M165" s="42" t="n">
        <f aca="false">AQ165+MIN(AG165-AQ165,MAX(0,'Start Here'!$B$10-SUM($AJ165:$AS165)-SUMPRODUCT(($Z$3:$AI$3&lt;AG$3)*($Z165:$AI165-$AJ165:$AS165))))</f>
        <v>0</v>
      </c>
      <c r="N165" s="42" t="n">
        <f aca="false">AR165+MIN(AH165-AR165,MAX(0,'Start Here'!$B$10-SUM($AJ165:$AS165)-SUMPRODUCT(($Z$3:$AI$3&lt;AH$3)*($Z165:$AI165-$AJ165:$AS165))))</f>
        <v>0</v>
      </c>
      <c r="O165" s="42" t="n">
        <f aca="false">AS165+MIN(AI165-AS165,MAX(0,'Start Here'!$B$10-SUM($AJ165:$AS165)-SUMPRODUCT(($Z$3:$AI$3&lt;AI$3)*($Z165:$AI165-$AJ165:$AS165))))</f>
        <v>0</v>
      </c>
      <c r="P165" s="42" t="n">
        <f aca="false">ROUND(Z165-F165,2)</f>
        <v>0</v>
      </c>
      <c r="Q165" s="42" t="n">
        <f aca="false">ROUND(AA165-G165,2)</f>
        <v>0</v>
      </c>
      <c r="R165" s="42" t="n">
        <f aca="false">ROUND(AB165-H165,2)</f>
        <v>0</v>
      </c>
      <c r="S165" s="42" t="n">
        <f aca="false">ROUND(AC165-I165,2)</f>
        <v>0</v>
      </c>
      <c r="T165" s="42" t="n">
        <f aca="false">ROUND(AD165-J165,2)</f>
        <v>0</v>
      </c>
      <c r="U165" s="42" t="n">
        <f aca="false">ROUND(AE165-K165,2)</f>
        <v>0</v>
      </c>
      <c r="V165" s="42" t="n">
        <f aca="false">ROUND(AF165-L165,2)</f>
        <v>0</v>
      </c>
      <c r="W165" s="42" t="n">
        <f aca="false">ROUND(AG165-M165,2)</f>
        <v>0</v>
      </c>
      <c r="X165" s="42" t="n">
        <f aca="false">ROUND(AH165-N165,2)</f>
        <v>0</v>
      </c>
      <c r="Y165" s="42" t="n">
        <f aca="false">ROUND(AI165-O165,2)</f>
        <v>0</v>
      </c>
      <c r="Z165" s="56" t="n">
        <f aca="false">ROUND(P164*(1+N(Debts!$D$5)/12),2)</f>
        <v>0</v>
      </c>
      <c r="AA165" s="56" t="n">
        <f aca="false">ROUND(Q164*(1+N(Debts!$D$6)/12),2)</f>
        <v>0</v>
      </c>
      <c r="AB165" s="56" t="n">
        <f aca="false">ROUND(R164*(1+N(Debts!$D$7)/12),2)</f>
        <v>0</v>
      </c>
      <c r="AC165" s="56" t="n">
        <f aca="false">ROUND(S164*(1+N(Debts!$D$8)/12),2)</f>
        <v>0</v>
      </c>
      <c r="AD165" s="56" t="n">
        <f aca="false">ROUND(T164*(1+N(Debts!$D$9)/12),2)</f>
        <v>0</v>
      </c>
      <c r="AE165" s="56" t="n">
        <f aca="false">ROUND(U164*(1+N(Debts!$D$10)/12),2)</f>
        <v>0</v>
      </c>
      <c r="AF165" s="56" t="n">
        <f aca="false">ROUND(V164*(1+N(Debts!$D$11)/12),2)</f>
        <v>0</v>
      </c>
      <c r="AG165" s="56" t="n">
        <f aca="false">ROUND(W164*(1+N(Debts!$D$12)/12),2)</f>
        <v>0</v>
      </c>
      <c r="AH165" s="56" t="n">
        <f aca="false">ROUND(X164*(1+N(Debts!$D$13)/12),2)</f>
        <v>0</v>
      </c>
      <c r="AI165" s="56" t="n">
        <f aca="false">ROUND(Y164*(1+N(Debts!$D$14)/12),2)</f>
        <v>0</v>
      </c>
      <c r="AJ165" s="56" t="n">
        <f aca="false">MIN(Z165,MAX(0,N(Debts!$E$5)))</f>
        <v>0</v>
      </c>
      <c r="AK165" s="56" t="n">
        <f aca="false">MIN(AA165,MAX(0,N(Debts!$E$6)))</f>
        <v>0</v>
      </c>
      <c r="AL165" s="56" t="n">
        <f aca="false">MIN(AB165,MAX(0,N(Debts!$E$7)))</f>
        <v>0</v>
      </c>
      <c r="AM165" s="56" t="n">
        <f aca="false">MIN(AC165,MAX(0,N(Debts!$E$8)))</f>
        <v>0</v>
      </c>
      <c r="AN165" s="56" t="n">
        <f aca="false">MIN(AD165,MAX(0,N(Debts!$E$9)))</f>
        <v>0</v>
      </c>
      <c r="AO165" s="56" t="n">
        <f aca="false">MIN(AE165,MAX(0,N(Debts!$E$10)))</f>
        <v>0</v>
      </c>
      <c r="AP165" s="56" t="n">
        <f aca="false">MIN(AF165,MAX(0,N(Debts!$E$11)))</f>
        <v>0</v>
      </c>
      <c r="AQ165" s="56" t="n">
        <f aca="false">MIN(AG165,MAX(0,N(Debts!$E$12)))</f>
        <v>0</v>
      </c>
      <c r="AR165" s="56" t="n">
        <f aca="false">MIN(AH165,MAX(0,N(Debts!$E$13)))</f>
        <v>0</v>
      </c>
      <c r="AS165" s="56" t="n">
        <f aca="false">MIN(AI165,MAX(0,N(Debts!$E$14)))</f>
        <v>0</v>
      </c>
    </row>
    <row r="166" customFormat="false" ht="15" hidden="false" customHeight="false" outlineLevel="0" collapsed="false">
      <c r="A166" s="53" t="n">
        <v>162</v>
      </c>
      <c r="B166" s="54" t="n">
        <f aca="false">EDATE('Start Here'!$B$8,161)</f>
        <v>51227</v>
      </c>
      <c r="C166" s="42" t="n">
        <f aca="false">SUM(F166:O166)</f>
        <v>0</v>
      </c>
      <c r="D166" s="42" t="n">
        <f aca="false">ROUND(SUM($Z166:$AI166)-SUM(P165:Y165),2)</f>
        <v>0</v>
      </c>
      <c r="E166" s="55" t="n">
        <f aca="false">SUM(P166:Y166)</f>
        <v>0</v>
      </c>
      <c r="F166" s="42" t="n">
        <f aca="false">AJ166+MIN(Z166-AJ166,MAX(0,'Start Here'!$B$10-SUM($AJ166:$AS166)-SUMPRODUCT(($Z$3:$AI$3&lt;Z$3)*($Z166:$AI166-$AJ166:$AS166))))</f>
        <v>0</v>
      </c>
      <c r="G166" s="42" t="n">
        <f aca="false">AK166+MIN(AA166-AK166,MAX(0,'Start Here'!$B$10-SUM($AJ166:$AS166)-SUMPRODUCT(($Z$3:$AI$3&lt;AA$3)*($Z166:$AI166-$AJ166:$AS166))))</f>
        <v>0</v>
      </c>
      <c r="H166" s="42" t="n">
        <f aca="false">AL166+MIN(AB166-AL166,MAX(0,'Start Here'!$B$10-SUM($AJ166:$AS166)-SUMPRODUCT(($Z$3:$AI$3&lt;AB$3)*($Z166:$AI166-$AJ166:$AS166))))</f>
        <v>0</v>
      </c>
      <c r="I166" s="42" t="n">
        <f aca="false">AM166+MIN(AC166-AM166,MAX(0,'Start Here'!$B$10-SUM($AJ166:$AS166)-SUMPRODUCT(($Z$3:$AI$3&lt;AC$3)*($Z166:$AI166-$AJ166:$AS166))))</f>
        <v>0</v>
      </c>
      <c r="J166" s="42" t="n">
        <f aca="false">AN166+MIN(AD166-AN166,MAX(0,'Start Here'!$B$10-SUM($AJ166:$AS166)-SUMPRODUCT(($Z$3:$AI$3&lt;AD$3)*($Z166:$AI166-$AJ166:$AS166))))</f>
        <v>0</v>
      </c>
      <c r="K166" s="42" t="n">
        <f aca="false">AO166+MIN(AE166-AO166,MAX(0,'Start Here'!$B$10-SUM($AJ166:$AS166)-SUMPRODUCT(($Z$3:$AI$3&lt;AE$3)*($Z166:$AI166-$AJ166:$AS166))))</f>
        <v>0</v>
      </c>
      <c r="L166" s="42" t="n">
        <f aca="false">AP166+MIN(AF166-AP166,MAX(0,'Start Here'!$B$10-SUM($AJ166:$AS166)-SUMPRODUCT(($Z$3:$AI$3&lt;AF$3)*($Z166:$AI166-$AJ166:$AS166))))</f>
        <v>0</v>
      </c>
      <c r="M166" s="42" t="n">
        <f aca="false">AQ166+MIN(AG166-AQ166,MAX(0,'Start Here'!$B$10-SUM($AJ166:$AS166)-SUMPRODUCT(($Z$3:$AI$3&lt;AG$3)*($Z166:$AI166-$AJ166:$AS166))))</f>
        <v>0</v>
      </c>
      <c r="N166" s="42" t="n">
        <f aca="false">AR166+MIN(AH166-AR166,MAX(0,'Start Here'!$B$10-SUM($AJ166:$AS166)-SUMPRODUCT(($Z$3:$AI$3&lt;AH$3)*($Z166:$AI166-$AJ166:$AS166))))</f>
        <v>0</v>
      </c>
      <c r="O166" s="42" t="n">
        <f aca="false">AS166+MIN(AI166-AS166,MAX(0,'Start Here'!$B$10-SUM($AJ166:$AS166)-SUMPRODUCT(($Z$3:$AI$3&lt;AI$3)*($Z166:$AI166-$AJ166:$AS166))))</f>
        <v>0</v>
      </c>
      <c r="P166" s="42" t="n">
        <f aca="false">ROUND(Z166-F166,2)</f>
        <v>0</v>
      </c>
      <c r="Q166" s="42" t="n">
        <f aca="false">ROUND(AA166-G166,2)</f>
        <v>0</v>
      </c>
      <c r="R166" s="42" t="n">
        <f aca="false">ROUND(AB166-H166,2)</f>
        <v>0</v>
      </c>
      <c r="S166" s="42" t="n">
        <f aca="false">ROUND(AC166-I166,2)</f>
        <v>0</v>
      </c>
      <c r="T166" s="42" t="n">
        <f aca="false">ROUND(AD166-J166,2)</f>
        <v>0</v>
      </c>
      <c r="U166" s="42" t="n">
        <f aca="false">ROUND(AE166-K166,2)</f>
        <v>0</v>
      </c>
      <c r="V166" s="42" t="n">
        <f aca="false">ROUND(AF166-L166,2)</f>
        <v>0</v>
      </c>
      <c r="W166" s="42" t="n">
        <f aca="false">ROUND(AG166-M166,2)</f>
        <v>0</v>
      </c>
      <c r="X166" s="42" t="n">
        <f aca="false">ROUND(AH166-N166,2)</f>
        <v>0</v>
      </c>
      <c r="Y166" s="42" t="n">
        <f aca="false">ROUND(AI166-O166,2)</f>
        <v>0</v>
      </c>
      <c r="Z166" s="56" t="n">
        <f aca="false">ROUND(P165*(1+N(Debts!$D$5)/12),2)</f>
        <v>0</v>
      </c>
      <c r="AA166" s="56" t="n">
        <f aca="false">ROUND(Q165*(1+N(Debts!$D$6)/12),2)</f>
        <v>0</v>
      </c>
      <c r="AB166" s="56" t="n">
        <f aca="false">ROUND(R165*(1+N(Debts!$D$7)/12),2)</f>
        <v>0</v>
      </c>
      <c r="AC166" s="56" t="n">
        <f aca="false">ROUND(S165*(1+N(Debts!$D$8)/12),2)</f>
        <v>0</v>
      </c>
      <c r="AD166" s="56" t="n">
        <f aca="false">ROUND(T165*(1+N(Debts!$D$9)/12),2)</f>
        <v>0</v>
      </c>
      <c r="AE166" s="56" t="n">
        <f aca="false">ROUND(U165*(1+N(Debts!$D$10)/12),2)</f>
        <v>0</v>
      </c>
      <c r="AF166" s="56" t="n">
        <f aca="false">ROUND(V165*(1+N(Debts!$D$11)/12),2)</f>
        <v>0</v>
      </c>
      <c r="AG166" s="56" t="n">
        <f aca="false">ROUND(W165*(1+N(Debts!$D$12)/12),2)</f>
        <v>0</v>
      </c>
      <c r="AH166" s="56" t="n">
        <f aca="false">ROUND(X165*(1+N(Debts!$D$13)/12),2)</f>
        <v>0</v>
      </c>
      <c r="AI166" s="56" t="n">
        <f aca="false">ROUND(Y165*(1+N(Debts!$D$14)/12),2)</f>
        <v>0</v>
      </c>
      <c r="AJ166" s="56" t="n">
        <f aca="false">MIN(Z166,MAX(0,N(Debts!$E$5)))</f>
        <v>0</v>
      </c>
      <c r="AK166" s="56" t="n">
        <f aca="false">MIN(AA166,MAX(0,N(Debts!$E$6)))</f>
        <v>0</v>
      </c>
      <c r="AL166" s="56" t="n">
        <f aca="false">MIN(AB166,MAX(0,N(Debts!$E$7)))</f>
        <v>0</v>
      </c>
      <c r="AM166" s="56" t="n">
        <f aca="false">MIN(AC166,MAX(0,N(Debts!$E$8)))</f>
        <v>0</v>
      </c>
      <c r="AN166" s="56" t="n">
        <f aca="false">MIN(AD166,MAX(0,N(Debts!$E$9)))</f>
        <v>0</v>
      </c>
      <c r="AO166" s="56" t="n">
        <f aca="false">MIN(AE166,MAX(0,N(Debts!$E$10)))</f>
        <v>0</v>
      </c>
      <c r="AP166" s="56" t="n">
        <f aca="false">MIN(AF166,MAX(0,N(Debts!$E$11)))</f>
        <v>0</v>
      </c>
      <c r="AQ166" s="56" t="n">
        <f aca="false">MIN(AG166,MAX(0,N(Debts!$E$12)))</f>
        <v>0</v>
      </c>
      <c r="AR166" s="56" t="n">
        <f aca="false">MIN(AH166,MAX(0,N(Debts!$E$13)))</f>
        <v>0</v>
      </c>
      <c r="AS166" s="56" t="n">
        <f aca="false">MIN(AI166,MAX(0,N(Debts!$E$14)))</f>
        <v>0</v>
      </c>
    </row>
    <row r="167" customFormat="false" ht="15" hidden="false" customHeight="false" outlineLevel="0" collapsed="false">
      <c r="A167" s="53" t="n">
        <v>163</v>
      </c>
      <c r="B167" s="54" t="n">
        <f aca="false">EDATE('Start Here'!$B$8,162)</f>
        <v>51257</v>
      </c>
      <c r="C167" s="42" t="n">
        <f aca="false">SUM(F167:O167)</f>
        <v>0</v>
      </c>
      <c r="D167" s="42" t="n">
        <f aca="false">ROUND(SUM($Z167:$AI167)-SUM(P166:Y166),2)</f>
        <v>0</v>
      </c>
      <c r="E167" s="55" t="n">
        <f aca="false">SUM(P167:Y167)</f>
        <v>0</v>
      </c>
      <c r="F167" s="42" t="n">
        <f aca="false">AJ167+MIN(Z167-AJ167,MAX(0,'Start Here'!$B$10-SUM($AJ167:$AS167)-SUMPRODUCT(($Z$3:$AI$3&lt;Z$3)*($Z167:$AI167-$AJ167:$AS167))))</f>
        <v>0</v>
      </c>
      <c r="G167" s="42" t="n">
        <f aca="false">AK167+MIN(AA167-AK167,MAX(0,'Start Here'!$B$10-SUM($AJ167:$AS167)-SUMPRODUCT(($Z$3:$AI$3&lt;AA$3)*($Z167:$AI167-$AJ167:$AS167))))</f>
        <v>0</v>
      </c>
      <c r="H167" s="42" t="n">
        <f aca="false">AL167+MIN(AB167-AL167,MAX(0,'Start Here'!$B$10-SUM($AJ167:$AS167)-SUMPRODUCT(($Z$3:$AI$3&lt;AB$3)*($Z167:$AI167-$AJ167:$AS167))))</f>
        <v>0</v>
      </c>
      <c r="I167" s="42" t="n">
        <f aca="false">AM167+MIN(AC167-AM167,MAX(0,'Start Here'!$B$10-SUM($AJ167:$AS167)-SUMPRODUCT(($Z$3:$AI$3&lt;AC$3)*($Z167:$AI167-$AJ167:$AS167))))</f>
        <v>0</v>
      </c>
      <c r="J167" s="42" t="n">
        <f aca="false">AN167+MIN(AD167-AN167,MAX(0,'Start Here'!$B$10-SUM($AJ167:$AS167)-SUMPRODUCT(($Z$3:$AI$3&lt;AD$3)*($Z167:$AI167-$AJ167:$AS167))))</f>
        <v>0</v>
      </c>
      <c r="K167" s="42" t="n">
        <f aca="false">AO167+MIN(AE167-AO167,MAX(0,'Start Here'!$B$10-SUM($AJ167:$AS167)-SUMPRODUCT(($Z$3:$AI$3&lt;AE$3)*($Z167:$AI167-$AJ167:$AS167))))</f>
        <v>0</v>
      </c>
      <c r="L167" s="42" t="n">
        <f aca="false">AP167+MIN(AF167-AP167,MAX(0,'Start Here'!$B$10-SUM($AJ167:$AS167)-SUMPRODUCT(($Z$3:$AI$3&lt;AF$3)*($Z167:$AI167-$AJ167:$AS167))))</f>
        <v>0</v>
      </c>
      <c r="M167" s="42" t="n">
        <f aca="false">AQ167+MIN(AG167-AQ167,MAX(0,'Start Here'!$B$10-SUM($AJ167:$AS167)-SUMPRODUCT(($Z$3:$AI$3&lt;AG$3)*($Z167:$AI167-$AJ167:$AS167))))</f>
        <v>0</v>
      </c>
      <c r="N167" s="42" t="n">
        <f aca="false">AR167+MIN(AH167-AR167,MAX(0,'Start Here'!$B$10-SUM($AJ167:$AS167)-SUMPRODUCT(($Z$3:$AI$3&lt;AH$3)*($Z167:$AI167-$AJ167:$AS167))))</f>
        <v>0</v>
      </c>
      <c r="O167" s="42" t="n">
        <f aca="false">AS167+MIN(AI167-AS167,MAX(0,'Start Here'!$B$10-SUM($AJ167:$AS167)-SUMPRODUCT(($Z$3:$AI$3&lt;AI$3)*($Z167:$AI167-$AJ167:$AS167))))</f>
        <v>0</v>
      </c>
      <c r="P167" s="42" t="n">
        <f aca="false">ROUND(Z167-F167,2)</f>
        <v>0</v>
      </c>
      <c r="Q167" s="42" t="n">
        <f aca="false">ROUND(AA167-G167,2)</f>
        <v>0</v>
      </c>
      <c r="R167" s="42" t="n">
        <f aca="false">ROUND(AB167-H167,2)</f>
        <v>0</v>
      </c>
      <c r="S167" s="42" t="n">
        <f aca="false">ROUND(AC167-I167,2)</f>
        <v>0</v>
      </c>
      <c r="T167" s="42" t="n">
        <f aca="false">ROUND(AD167-J167,2)</f>
        <v>0</v>
      </c>
      <c r="U167" s="42" t="n">
        <f aca="false">ROUND(AE167-K167,2)</f>
        <v>0</v>
      </c>
      <c r="V167" s="42" t="n">
        <f aca="false">ROUND(AF167-L167,2)</f>
        <v>0</v>
      </c>
      <c r="W167" s="42" t="n">
        <f aca="false">ROUND(AG167-M167,2)</f>
        <v>0</v>
      </c>
      <c r="X167" s="42" t="n">
        <f aca="false">ROUND(AH167-N167,2)</f>
        <v>0</v>
      </c>
      <c r="Y167" s="42" t="n">
        <f aca="false">ROUND(AI167-O167,2)</f>
        <v>0</v>
      </c>
      <c r="Z167" s="56" t="n">
        <f aca="false">ROUND(P166*(1+N(Debts!$D$5)/12),2)</f>
        <v>0</v>
      </c>
      <c r="AA167" s="56" t="n">
        <f aca="false">ROUND(Q166*(1+N(Debts!$D$6)/12),2)</f>
        <v>0</v>
      </c>
      <c r="AB167" s="56" t="n">
        <f aca="false">ROUND(R166*(1+N(Debts!$D$7)/12),2)</f>
        <v>0</v>
      </c>
      <c r="AC167" s="56" t="n">
        <f aca="false">ROUND(S166*(1+N(Debts!$D$8)/12),2)</f>
        <v>0</v>
      </c>
      <c r="AD167" s="56" t="n">
        <f aca="false">ROUND(T166*(1+N(Debts!$D$9)/12),2)</f>
        <v>0</v>
      </c>
      <c r="AE167" s="56" t="n">
        <f aca="false">ROUND(U166*(1+N(Debts!$D$10)/12),2)</f>
        <v>0</v>
      </c>
      <c r="AF167" s="56" t="n">
        <f aca="false">ROUND(V166*(1+N(Debts!$D$11)/12),2)</f>
        <v>0</v>
      </c>
      <c r="AG167" s="56" t="n">
        <f aca="false">ROUND(W166*(1+N(Debts!$D$12)/12),2)</f>
        <v>0</v>
      </c>
      <c r="AH167" s="56" t="n">
        <f aca="false">ROUND(X166*(1+N(Debts!$D$13)/12),2)</f>
        <v>0</v>
      </c>
      <c r="AI167" s="56" t="n">
        <f aca="false">ROUND(Y166*(1+N(Debts!$D$14)/12),2)</f>
        <v>0</v>
      </c>
      <c r="AJ167" s="56" t="n">
        <f aca="false">MIN(Z167,MAX(0,N(Debts!$E$5)))</f>
        <v>0</v>
      </c>
      <c r="AK167" s="56" t="n">
        <f aca="false">MIN(AA167,MAX(0,N(Debts!$E$6)))</f>
        <v>0</v>
      </c>
      <c r="AL167" s="56" t="n">
        <f aca="false">MIN(AB167,MAX(0,N(Debts!$E$7)))</f>
        <v>0</v>
      </c>
      <c r="AM167" s="56" t="n">
        <f aca="false">MIN(AC167,MAX(0,N(Debts!$E$8)))</f>
        <v>0</v>
      </c>
      <c r="AN167" s="56" t="n">
        <f aca="false">MIN(AD167,MAX(0,N(Debts!$E$9)))</f>
        <v>0</v>
      </c>
      <c r="AO167" s="56" t="n">
        <f aca="false">MIN(AE167,MAX(0,N(Debts!$E$10)))</f>
        <v>0</v>
      </c>
      <c r="AP167" s="56" t="n">
        <f aca="false">MIN(AF167,MAX(0,N(Debts!$E$11)))</f>
        <v>0</v>
      </c>
      <c r="AQ167" s="56" t="n">
        <f aca="false">MIN(AG167,MAX(0,N(Debts!$E$12)))</f>
        <v>0</v>
      </c>
      <c r="AR167" s="56" t="n">
        <f aca="false">MIN(AH167,MAX(0,N(Debts!$E$13)))</f>
        <v>0</v>
      </c>
      <c r="AS167" s="56" t="n">
        <f aca="false">MIN(AI167,MAX(0,N(Debts!$E$14)))</f>
        <v>0</v>
      </c>
    </row>
    <row r="168" customFormat="false" ht="15" hidden="false" customHeight="false" outlineLevel="0" collapsed="false">
      <c r="A168" s="53" t="n">
        <v>164</v>
      </c>
      <c r="B168" s="54" t="n">
        <f aca="false">EDATE('Start Here'!$B$8,163)</f>
        <v>51288</v>
      </c>
      <c r="C168" s="42" t="n">
        <f aca="false">SUM(F168:O168)</f>
        <v>0</v>
      </c>
      <c r="D168" s="42" t="n">
        <f aca="false">ROUND(SUM($Z168:$AI168)-SUM(P167:Y167),2)</f>
        <v>0</v>
      </c>
      <c r="E168" s="55" t="n">
        <f aca="false">SUM(P168:Y168)</f>
        <v>0</v>
      </c>
      <c r="F168" s="42" t="n">
        <f aca="false">AJ168+MIN(Z168-AJ168,MAX(0,'Start Here'!$B$10-SUM($AJ168:$AS168)-SUMPRODUCT(($Z$3:$AI$3&lt;Z$3)*($Z168:$AI168-$AJ168:$AS168))))</f>
        <v>0</v>
      </c>
      <c r="G168" s="42" t="n">
        <f aca="false">AK168+MIN(AA168-AK168,MAX(0,'Start Here'!$B$10-SUM($AJ168:$AS168)-SUMPRODUCT(($Z$3:$AI$3&lt;AA$3)*($Z168:$AI168-$AJ168:$AS168))))</f>
        <v>0</v>
      </c>
      <c r="H168" s="42" t="n">
        <f aca="false">AL168+MIN(AB168-AL168,MAX(0,'Start Here'!$B$10-SUM($AJ168:$AS168)-SUMPRODUCT(($Z$3:$AI$3&lt;AB$3)*($Z168:$AI168-$AJ168:$AS168))))</f>
        <v>0</v>
      </c>
      <c r="I168" s="42" t="n">
        <f aca="false">AM168+MIN(AC168-AM168,MAX(0,'Start Here'!$B$10-SUM($AJ168:$AS168)-SUMPRODUCT(($Z$3:$AI$3&lt;AC$3)*($Z168:$AI168-$AJ168:$AS168))))</f>
        <v>0</v>
      </c>
      <c r="J168" s="42" t="n">
        <f aca="false">AN168+MIN(AD168-AN168,MAX(0,'Start Here'!$B$10-SUM($AJ168:$AS168)-SUMPRODUCT(($Z$3:$AI$3&lt;AD$3)*($Z168:$AI168-$AJ168:$AS168))))</f>
        <v>0</v>
      </c>
      <c r="K168" s="42" t="n">
        <f aca="false">AO168+MIN(AE168-AO168,MAX(0,'Start Here'!$B$10-SUM($AJ168:$AS168)-SUMPRODUCT(($Z$3:$AI$3&lt;AE$3)*($Z168:$AI168-$AJ168:$AS168))))</f>
        <v>0</v>
      </c>
      <c r="L168" s="42" t="n">
        <f aca="false">AP168+MIN(AF168-AP168,MAX(0,'Start Here'!$B$10-SUM($AJ168:$AS168)-SUMPRODUCT(($Z$3:$AI$3&lt;AF$3)*($Z168:$AI168-$AJ168:$AS168))))</f>
        <v>0</v>
      </c>
      <c r="M168" s="42" t="n">
        <f aca="false">AQ168+MIN(AG168-AQ168,MAX(0,'Start Here'!$B$10-SUM($AJ168:$AS168)-SUMPRODUCT(($Z$3:$AI$3&lt;AG$3)*($Z168:$AI168-$AJ168:$AS168))))</f>
        <v>0</v>
      </c>
      <c r="N168" s="42" t="n">
        <f aca="false">AR168+MIN(AH168-AR168,MAX(0,'Start Here'!$B$10-SUM($AJ168:$AS168)-SUMPRODUCT(($Z$3:$AI$3&lt;AH$3)*($Z168:$AI168-$AJ168:$AS168))))</f>
        <v>0</v>
      </c>
      <c r="O168" s="42" t="n">
        <f aca="false">AS168+MIN(AI168-AS168,MAX(0,'Start Here'!$B$10-SUM($AJ168:$AS168)-SUMPRODUCT(($Z$3:$AI$3&lt;AI$3)*($Z168:$AI168-$AJ168:$AS168))))</f>
        <v>0</v>
      </c>
      <c r="P168" s="42" t="n">
        <f aca="false">ROUND(Z168-F168,2)</f>
        <v>0</v>
      </c>
      <c r="Q168" s="42" t="n">
        <f aca="false">ROUND(AA168-G168,2)</f>
        <v>0</v>
      </c>
      <c r="R168" s="42" t="n">
        <f aca="false">ROUND(AB168-H168,2)</f>
        <v>0</v>
      </c>
      <c r="S168" s="42" t="n">
        <f aca="false">ROUND(AC168-I168,2)</f>
        <v>0</v>
      </c>
      <c r="T168" s="42" t="n">
        <f aca="false">ROUND(AD168-J168,2)</f>
        <v>0</v>
      </c>
      <c r="U168" s="42" t="n">
        <f aca="false">ROUND(AE168-K168,2)</f>
        <v>0</v>
      </c>
      <c r="V168" s="42" t="n">
        <f aca="false">ROUND(AF168-L168,2)</f>
        <v>0</v>
      </c>
      <c r="W168" s="42" t="n">
        <f aca="false">ROUND(AG168-M168,2)</f>
        <v>0</v>
      </c>
      <c r="X168" s="42" t="n">
        <f aca="false">ROUND(AH168-N168,2)</f>
        <v>0</v>
      </c>
      <c r="Y168" s="42" t="n">
        <f aca="false">ROUND(AI168-O168,2)</f>
        <v>0</v>
      </c>
      <c r="Z168" s="56" t="n">
        <f aca="false">ROUND(P167*(1+N(Debts!$D$5)/12),2)</f>
        <v>0</v>
      </c>
      <c r="AA168" s="56" t="n">
        <f aca="false">ROUND(Q167*(1+N(Debts!$D$6)/12),2)</f>
        <v>0</v>
      </c>
      <c r="AB168" s="56" t="n">
        <f aca="false">ROUND(R167*(1+N(Debts!$D$7)/12),2)</f>
        <v>0</v>
      </c>
      <c r="AC168" s="56" t="n">
        <f aca="false">ROUND(S167*(1+N(Debts!$D$8)/12),2)</f>
        <v>0</v>
      </c>
      <c r="AD168" s="56" t="n">
        <f aca="false">ROUND(T167*(1+N(Debts!$D$9)/12),2)</f>
        <v>0</v>
      </c>
      <c r="AE168" s="56" t="n">
        <f aca="false">ROUND(U167*(1+N(Debts!$D$10)/12),2)</f>
        <v>0</v>
      </c>
      <c r="AF168" s="56" t="n">
        <f aca="false">ROUND(V167*(1+N(Debts!$D$11)/12),2)</f>
        <v>0</v>
      </c>
      <c r="AG168" s="56" t="n">
        <f aca="false">ROUND(W167*(1+N(Debts!$D$12)/12),2)</f>
        <v>0</v>
      </c>
      <c r="AH168" s="56" t="n">
        <f aca="false">ROUND(X167*(1+N(Debts!$D$13)/12),2)</f>
        <v>0</v>
      </c>
      <c r="AI168" s="56" t="n">
        <f aca="false">ROUND(Y167*(1+N(Debts!$D$14)/12),2)</f>
        <v>0</v>
      </c>
      <c r="AJ168" s="56" t="n">
        <f aca="false">MIN(Z168,MAX(0,N(Debts!$E$5)))</f>
        <v>0</v>
      </c>
      <c r="AK168" s="56" t="n">
        <f aca="false">MIN(AA168,MAX(0,N(Debts!$E$6)))</f>
        <v>0</v>
      </c>
      <c r="AL168" s="56" t="n">
        <f aca="false">MIN(AB168,MAX(0,N(Debts!$E$7)))</f>
        <v>0</v>
      </c>
      <c r="AM168" s="56" t="n">
        <f aca="false">MIN(AC168,MAX(0,N(Debts!$E$8)))</f>
        <v>0</v>
      </c>
      <c r="AN168" s="56" t="n">
        <f aca="false">MIN(AD168,MAX(0,N(Debts!$E$9)))</f>
        <v>0</v>
      </c>
      <c r="AO168" s="56" t="n">
        <f aca="false">MIN(AE168,MAX(0,N(Debts!$E$10)))</f>
        <v>0</v>
      </c>
      <c r="AP168" s="56" t="n">
        <f aca="false">MIN(AF168,MAX(0,N(Debts!$E$11)))</f>
        <v>0</v>
      </c>
      <c r="AQ168" s="56" t="n">
        <f aca="false">MIN(AG168,MAX(0,N(Debts!$E$12)))</f>
        <v>0</v>
      </c>
      <c r="AR168" s="56" t="n">
        <f aca="false">MIN(AH168,MAX(0,N(Debts!$E$13)))</f>
        <v>0</v>
      </c>
      <c r="AS168" s="56" t="n">
        <f aca="false">MIN(AI168,MAX(0,N(Debts!$E$14)))</f>
        <v>0</v>
      </c>
    </row>
    <row r="169" customFormat="false" ht="15" hidden="false" customHeight="false" outlineLevel="0" collapsed="false">
      <c r="A169" s="53" t="n">
        <v>165</v>
      </c>
      <c r="B169" s="54" t="n">
        <f aca="false">EDATE('Start Here'!$B$8,164)</f>
        <v>51318</v>
      </c>
      <c r="C169" s="42" t="n">
        <f aca="false">SUM(F169:O169)</f>
        <v>0</v>
      </c>
      <c r="D169" s="42" t="n">
        <f aca="false">ROUND(SUM($Z169:$AI169)-SUM(P168:Y168),2)</f>
        <v>0</v>
      </c>
      <c r="E169" s="55" t="n">
        <f aca="false">SUM(P169:Y169)</f>
        <v>0</v>
      </c>
      <c r="F169" s="42" t="n">
        <f aca="false">AJ169+MIN(Z169-AJ169,MAX(0,'Start Here'!$B$10-SUM($AJ169:$AS169)-SUMPRODUCT(($Z$3:$AI$3&lt;Z$3)*($Z169:$AI169-$AJ169:$AS169))))</f>
        <v>0</v>
      </c>
      <c r="G169" s="42" t="n">
        <f aca="false">AK169+MIN(AA169-AK169,MAX(0,'Start Here'!$B$10-SUM($AJ169:$AS169)-SUMPRODUCT(($Z$3:$AI$3&lt;AA$3)*($Z169:$AI169-$AJ169:$AS169))))</f>
        <v>0</v>
      </c>
      <c r="H169" s="42" t="n">
        <f aca="false">AL169+MIN(AB169-AL169,MAX(0,'Start Here'!$B$10-SUM($AJ169:$AS169)-SUMPRODUCT(($Z$3:$AI$3&lt;AB$3)*($Z169:$AI169-$AJ169:$AS169))))</f>
        <v>0</v>
      </c>
      <c r="I169" s="42" t="n">
        <f aca="false">AM169+MIN(AC169-AM169,MAX(0,'Start Here'!$B$10-SUM($AJ169:$AS169)-SUMPRODUCT(($Z$3:$AI$3&lt;AC$3)*($Z169:$AI169-$AJ169:$AS169))))</f>
        <v>0</v>
      </c>
      <c r="J169" s="42" t="n">
        <f aca="false">AN169+MIN(AD169-AN169,MAX(0,'Start Here'!$B$10-SUM($AJ169:$AS169)-SUMPRODUCT(($Z$3:$AI$3&lt;AD$3)*($Z169:$AI169-$AJ169:$AS169))))</f>
        <v>0</v>
      </c>
      <c r="K169" s="42" t="n">
        <f aca="false">AO169+MIN(AE169-AO169,MAX(0,'Start Here'!$B$10-SUM($AJ169:$AS169)-SUMPRODUCT(($Z$3:$AI$3&lt;AE$3)*($Z169:$AI169-$AJ169:$AS169))))</f>
        <v>0</v>
      </c>
      <c r="L169" s="42" t="n">
        <f aca="false">AP169+MIN(AF169-AP169,MAX(0,'Start Here'!$B$10-SUM($AJ169:$AS169)-SUMPRODUCT(($Z$3:$AI$3&lt;AF$3)*($Z169:$AI169-$AJ169:$AS169))))</f>
        <v>0</v>
      </c>
      <c r="M169" s="42" t="n">
        <f aca="false">AQ169+MIN(AG169-AQ169,MAX(0,'Start Here'!$B$10-SUM($AJ169:$AS169)-SUMPRODUCT(($Z$3:$AI$3&lt;AG$3)*($Z169:$AI169-$AJ169:$AS169))))</f>
        <v>0</v>
      </c>
      <c r="N169" s="42" t="n">
        <f aca="false">AR169+MIN(AH169-AR169,MAX(0,'Start Here'!$B$10-SUM($AJ169:$AS169)-SUMPRODUCT(($Z$3:$AI$3&lt;AH$3)*($Z169:$AI169-$AJ169:$AS169))))</f>
        <v>0</v>
      </c>
      <c r="O169" s="42" t="n">
        <f aca="false">AS169+MIN(AI169-AS169,MAX(0,'Start Here'!$B$10-SUM($AJ169:$AS169)-SUMPRODUCT(($Z$3:$AI$3&lt;AI$3)*($Z169:$AI169-$AJ169:$AS169))))</f>
        <v>0</v>
      </c>
      <c r="P169" s="42" t="n">
        <f aca="false">ROUND(Z169-F169,2)</f>
        <v>0</v>
      </c>
      <c r="Q169" s="42" t="n">
        <f aca="false">ROUND(AA169-G169,2)</f>
        <v>0</v>
      </c>
      <c r="R169" s="42" t="n">
        <f aca="false">ROUND(AB169-H169,2)</f>
        <v>0</v>
      </c>
      <c r="S169" s="42" t="n">
        <f aca="false">ROUND(AC169-I169,2)</f>
        <v>0</v>
      </c>
      <c r="T169" s="42" t="n">
        <f aca="false">ROUND(AD169-J169,2)</f>
        <v>0</v>
      </c>
      <c r="U169" s="42" t="n">
        <f aca="false">ROUND(AE169-K169,2)</f>
        <v>0</v>
      </c>
      <c r="V169" s="42" t="n">
        <f aca="false">ROUND(AF169-L169,2)</f>
        <v>0</v>
      </c>
      <c r="W169" s="42" t="n">
        <f aca="false">ROUND(AG169-M169,2)</f>
        <v>0</v>
      </c>
      <c r="X169" s="42" t="n">
        <f aca="false">ROUND(AH169-N169,2)</f>
        <v>0</v>
      </c>
      <c r="Y169" s="42" t="n">
        <f aca="false">ROUND(AI169-O169,2)</f>
        <v>0</v>
      </c>
      <c r="Z169" s="56" t="n">
        <f aca="false">ROUND(P168*(1+N(Debts!$D$5)/12),2)</f>
        <v>0</v>
      </c>
      <c r="AA169" s="56" t="n">
        <f aca="false">ROUND(Q168*(1+N(Debts!$D$6)/12),2)</f>
        <v>0</v>
      </c>
      <c r="AB169" s="56" t="n">
        <f aca="false">ROUND(R168*(1+N(Debts!$D$7)/12),2)</f>
        <v>0</v>
      </c>
      <c r="AC169" s="56" t="n">
        <f aca="false">ROUND(S168*(1+N(Debts!$D$8)/12),2)</f>
        <v>0</v>
      </c>
      <c r="AD169" s="56" t="n">
        <f aca="false">ROUND(T168*(1+N(Debts!$D$9)/12),2)</f>
        <v>0</v>
      </c>
      <c r="AE169" s="56" t="n">
        <f aca="false">ROUND(U168*(1+N(Debts!$D$10)/12),2)</f>
        <v>0</v>
      </c>
      <c r="AF169" s="56" t="n">
        <f aca="false">ROUND(V168*(1+N(Debts!$D$11)/12),2)</f>
        <v>0</v>
      </c>
      <c r="AG169" s="56" t="n">
        <f aca="false">ROUND(W168*(1+N(Debts!$D$12)/12),2)</f>
        <v>0</v>
      </c>
      <c r="AH169" s="56" t="n">
        <f aca="false">ROUND(X168*(1+N(Debts!$D$13)/12),2)</f>
        <v>0</v>
      </c>
      <c r="AI169" s="56" t="n">
        <f aca="false">ROUND(Y168*(1+N(Debts!$D$14)/12),2)</f>
        <v>0</v>
      </c>
      <c r="AJ169" s="56" t="n">
        <f aca="false">MIN(Z169,MAX(0,N(Debts!$E$5)))</f>
        <v>0</v>
      </c>
      <c r="AK169" s="56" t="n">
        <f aca="false">MIN(AA169,MAX(0,N(Debts!$E$6)))</f>
        <v>0</v>
      </c>
      <c r="AL169" s="56" t="n">
        <f aca="false">MIN(AB169,MAX(0,N(Debts!$E$7)))</f>
        <v>0</v>
      </c>
      <c r="AM169" s="56" t="n">
        <f aca="false">MIN(AC169,MAX(0,N(Debts!$E$8)))</f>
        <v>0</v>
      </c>
      <c r="AN169" s="56" t="n">
        <f aca="false">MIN(AD169,MAX(0,N(Debts!$E$9)))</f>
        <v>0</v>
      </c>
      <c r="AO169" s="56" t="n">
        <f aca="false">MIN(AE169,MAX(0,N(Debts!$E$10)))</f>
        <v>0</v>
      </c>
      <c r="AP169" s="56" t="n">
        <f aca="false">MIN(AF169,MAX(0,N(Debts!$E$11)))</f>
        <v>0</v>
      </c>
      <c r="AQ169" s="56" t="n">
        <f aca="false">MIN(AG169,MAX(0,N(Debts!$E$12)))</f>
        <v>0</v>
      </c>
      <c r="AR169" s="56" t="n">
        <f aca="false">MIN(AH169,MAX(0,N(Debts!$E$13)))</f>
        <v>0</v>
      </c>
      <c r="AS169" s="56" t="n">
        <f aca="false">MIN(AI169,MAX(0,N(Debts!$E$14)))</f>
        <v>0</v>
      </c>
    </row>
    <row r="170" customFormat="false" ht="15" hidden="false" customHeight="false" outlineLevel="0" collapsed="false">
      <c r="A170" s="53" t="n">
        <v>166</v>
      </c>
      <c r="B170" s="54" t="n">
        <f aca="false">EDATE('Start Here'!$B$8,165)</f>
        <v>51349</v>
      </c>
      <c r="C170" s="42" t="n">
        <f aca="false">SUM(F170:O170)</f>
        <v>0</v>
      </c>
      <c r="D170" s="42" t="n">
        <f aca="false">ROUND(SUM($Z170:$AI170)-SUM(P169:Y169),2)</f>
        <v>0</v>
      </c>
      <c r="E170" s="55" t="n">
        <f aca="false">SUM(P170:Y170)</f>
        <v>0</v>
      </c>
      <c r="F170" s="42" t="n">
        <f aca="false">AJ170+MIN(Z170-AJ170,MAX(0,'Start Here'!$B$10-SUM($AJ170:$AS170)-SUMPRODUCT(($Z$3:$AI$3&lt;Z$3)*($Z170:$AI170-$AJ170:$AS170))))</f>
        <v>0</v>
      </c>
      <c r="G170" s="42" t="n">
        <f aca="false">AK170+MIN(AA170-AK170,MAX(0,'Start Here'!$B$10-SUM($AJ170:$AS170)-SUMPRODUCT(($Z$3:$AI$3&lt;AA$3)*($Z170:$AI170-$AJ170:$AS170))))</f>
        <v>0</v>
      </c>
      <c r="H170" s="42" t="n">
        <f aca="false">AL170+MIN(AB170-AL170,MAX(0,'Start Here'!$B$10-SUM($AJ170:$AS170)-SUMPRODUCT(($Z$3:$AI$3&lt;AB$3)*($Z170:$AI170-$AJ170:$AS170))))</f>
        <v>0</v>
      </c>
      <c r="I170" s="42" t="n">
        <f aca="false">AM170+MIN(AC170-AM170,MAX(0,'Start Here'!$B$10-SUM($AJ170:$AS170)-SUMPRODUCT(($Z$3:$AI$3&lt;AC$3)*($Z170:$AI170-$AJ170:$AS170))))</f>
        <v>0</v>
      </c>
      <c r="J170" s="42" t="n">
        <f aca="false">AN170+MIN(AD170-AN170,MAX(0,'Start Here'!$B$10-SUM($AJ170:$AS170)-SUMPRODUCT(($Z$3:$AI$3&lt;AD$3)*($Z170:$AI170-$AJ170:$AS170))))</f>
        <v>0</v>
      </c>
      <c r="K170" s="42" t="n">
        <f aca="false">AO170+MIN(AE170-AO170,MAX(0,'Start Here'!$B$10-SUM($AJ170:$AS170)-SUMPRODUCT(($Z$3:$AI$3&lt;AE$3)*($Z170:$AI170-$AJ170:$AS170))))</f>
        <v>0</v>
      </c>
      <c r="L170" s="42" t="n">
        <f aca="false">AP170+MIN(AF170-AP170,MAX(0,'Start Here'!$B$10-SUM($AJ170:$AS170)-SUMPRODUCT(($Z$3:$AI$3&lt;AF$3)*($Z170:$AI170-$AJ170:$AS170))))</f>
        <v>0</v>
      </c>
      <c r="M170" s="42" t="n">
        <f aca="false">AQ170+MIN(AG170-AQ170,MAX(0,'Start Here'!$B$10-SUM($AJ170:$AS170)-SUMPRODUCT(($Z$3:$AI$3&lt;AG$3)*($Z170:$AI170-$AJ170:$AS170))))</f>
        <v>0</v>
      </c>
      <c r="N170" s="42" t="n">
        <f aca="false">AR170+MIN(AH170-AR170,MAX(0,'Start Here'!$B$10-SUM($AJ170:$AS170)-SUMPRODUCT(($Z$3:$AI$3&lt;AH$3)*($Z170:$AI170-$AJ170:$AS170))))</f>
        <v>0</v>
      </c>
      <c r="O170" s="42" t="n">
        <f aca="false">AS170+MIN(AI170-AS170,MAX(0,'Start Here'!$B$10-SUM($AJ170:$AS170)-SUMPRODUCT(($Z$3:$AI$3&lt;AI$3)*($Z170:$AI170-$AJ170:$AS170))))</f>
        <v>0</v>
      </c>
      <c r="P170" s="42" t="n">
        <f aca="false">ROUND(Z170-F170,2)</f>
        <v>0</v>
      </c>
      <c r="Q170" s="42" t="n">
        <f aca="false">ROUND(AA170-G170,2)</f>
        <v>0</v>
      </c>
      <c r="R170" s="42" t="n">
        <f aca="false">ROUND(AB170-H170,2)</f>
        <v>0</v>
      </c>
      <c r="S170" s="42" t="n">
        <f aca="false">ROUND(AC170-I170,2)</f>
        <v>0</v>
      </c>
      <c r="T170" s="42" t="n">
        <f aca="false">ROUND(AD170-J170,2)</f>
        <v>0</v>
      </c>
      <c r="U170" s="42" t="n">
        <f aca="false">ROUND(AE170-K170,2)</f>
        <v>0</v>
      </c>
      <c r="V170" s="42" t="n">
        <f aca="false">ROUND(AF170-L170,2)</f>
        <v>0</v>
      </c>
      <c r="W170" s="42" t="n">
        <f aca="false">ROUND(AG170-M170,2)</f>
        <v>0</v>
      </c>
      <c r="X170" s="42" t="n">
        <f aca="false">ROUND(AH170-N170,2)</f>
        <v>0</v>
      </c>
      <c r="Y170" s="42" t="n">
        <f aca="false">ROUND(AI170-O170,2)</f>
        <v>0</v>
      </c>
      <c r="Z170" s="56" t="n">
        <f aca="false">ROUND(P169*(1+N(Debts!$D$5)/12),2)</f>
        <v>0</v>
      </c>
      <c r="AA170" s="56" t="n">
        <f aca="false">ROUND(Q169*(1+N(Debts!$D$6)/12),2)</f>
        <v>0</v>
      </c>
      <c r="AB170" s="56" t="n">
        <f aca="false">ROUND(R169*(1+N(Debts!$D$7)/12),2)</f>
        <v>0</v>
      </c>
      <c r="AC170" s="56" t="n">
        <f aca="false">ROUND(S169*(1+N(Debts!$D$8)/12),2)</f>
        <v>0</v>
      </c>
      <c r="AD170" s="56" t="n">
        <f aca="false">ROUND(T169*(1+N(Debts!$D$9)/12),2)</f>
        <v>0</v>
      </c>
      <c r="AE170" s="56" t="n">
        <f aca="false">ROUND(U169*(1+N(Debts!$D$10)/12),2)</f>
        <v>0</v>
      </c>
      <c r="AF170" s="56" t="n">
        <f aca="false">ROUND(V169*(1+N(Debts!$D$11)/12),2)</f>
        <v>0</v>
      </c>
      <c r="AG170" s="56" t="n">
        <f aca="false">ROUND(W169*(1+N(Debts!$D$12)/12),2)</f>
        <v>0</v>
      </c>
      <c r="AH170" s="56" t="n">
        <f aca="false">ROUND(X169*(1+N(Debts!$D$13)/12),2)</f>
        <v>0</v>
      </c>
      <c r="AI170" s="56" t="n">
        <f aca="false">ROUND(Y169*(1+N(Debts!$D$14)/12),2)</f>
        <v>0</v>
      </c>
      <c r="AJ170" s="56" t="n">
        <f aca="false">MIN(Z170,MAX(0,N(Debts!$E$5)))</f>
        <v>0</v>
      </c>
      <c r="AK170" s="56" t="n">
        <f aca="false">MIN(AA170,MAX(0,N(Debts!$E$6)))</f>
        <v>0</v>
      </c>
      <c r="AL170" s="56" t="n">
        <f aca="false">MIN(AB170,MAX(0,N(Debts!$E$7)))</f>
        <v>0</v>
      </c>
      <c r="AM170" s="56" t="n">
        <f aca="false">MIN(AC170,MAX(0,N(Debts!$E$8)))</f>
        <v>0</v>
      </c>
      <c r="AN170" s="56" t="n">
        <f aca="false">MIN(AD170,MAX(0,N(Debts!$E$9)))</f>
        <v>0</v>
      </c>
      <c r="AO170" s="56" t="n">
        <f aca="false">MIN(AE170,MAX(0,N(Debts!$E$10)))</f>
        <v>0</v>
      </c>
      <c r="AP170" s="56" t="n">
        <f aca="false">MIN(AF170,MAX(0,N(Debts!$E$11)))</f>
        <v>0</v>
      </c>
      <c r="AQ170" s="56" t="n">
        <f aca="false">MIN(AG170,MAX(0,N(Debts!$E$12)))</f>
        <v>0</v>
      </c>
      <c r="AR170" s="56" t="n">
        <f aca="false">MIN(AH170,MAX(0,N(Debts!$E$13)))</f>
        <v>0</v>
      </c>
      <c r="AS170" s="56" t="n">
        <f aca="false">MIN(AI170,MAX(0,N(Debts!$E$14)))</f>
        <v>0</v>
      </c>
    </row>
    <row r="171" customFormat="false" ht="15" hidden="false" customHeight="false" outlineLevel="0" collapsed="false">
      <c r="A171" s="53" t="n">
        <v>167</v>
      </c>
      <c r="B171" s="54" t="n">
        <f aca="false">EDATE('Start Here'!$B$8,166)</f>
        <v>51380</v>
      </c>
      <c r="C171" s="42" t="n">
        <f aca="false">SUM(F171:O171)</f>
        <v>0</v>
      </c>
      <c r="D171" s="42" t="n">
        <f aca="false">ROUND(SUM($Z171:$AI171)-SUM(P170:Y170),2)</f>
        <v>0</v>
      </c>
      <c r="E171" s="55" t="n">
        <f aca="false">SUM(P171:Y171)</f>
        <v>0</v>
      </c>
      <c r="F171" s="42" t="n">
        <f aca="false">AJ171+MIN(Z171-AJ171,MAX(0,'Start Here'!$B$10-SUM($AJ171:$AS171)-SUMPRODUCT(($Z$3:$AI$3&lt;Z$3)*($Z171:$AI171-$AJ171:$AS171))))</f>
        <v>0</v>
      </c>
      <c r="G171" s="42" t="n">
        <f aca="false">AK171+MIN(AA171-AK171,MAX(0,'Start Here'!$B$10-SUM($AJ171:$AS171)-SUMPRODUCT(($Z$3:$AI$3&lt;AA$3)*($Z171:$AI171-$AJ171:$AS171))))</f>
        <v>0</v>
      </c>
      <c r="H171" s="42" t="n">
        <f aca="false">AL171+MIN(AB171-AL171,MAX(0,'Start Here'!$B$10-SUM($AJ171:$AS171)-SUMPRODUCT(($Z$3:$AI$3&lt;AB$3)*($Z171:$AI171-$AJ171:$AS171))))</f>
        <v>0</v>
      </c>
      <c r="I171" s="42" t="n">
        <f aca="false">AM171+MIN(AC171-AM171,MAX(0,'Start Here'!$B$10-SUM($AJ171:$AS171)-SUMPRODUCT(($Z$3:$AI$3&lt;AC$3)*($Z171:$AI171-$AJ171:$AS171))))</f>
        <v>0</v>
      </c>
      <c r="J171" s="42" t="n">
        <f aca="false">AN171+MIN(AD171-AN171,MAX(0,'Start Here'!$B$10-SUM($AJ171:$AS171)-SUMPRODUCT(($Z$3:$AI$3&lt;AD$3)*($Z171:$AI171-$AJ171:$AS171))))</f>
        <v>0</v>
      </c>
      <c r="K171" s="42" t="n">
        <f aca="false">AO171+MIN(AE171-AO171,MAX(0,'Start Here'!$B$10-SUM($AJ171:$AS171)-SUMPRODUCT(($Z$3:$AI$3&lt;AE$3)*($Z171:$AI171-$AJ171:$AS171))))</f>
        <v>0</v>
      </c>
      <c r="L171" s="42" t="n">
        <f aca="false">AP171+MIN(AF171-AP171,MAX(0,'Start Here'!$B$10-SUM($AJ171:$AS171)-SUMPRODUCT(($Z$3:$AI$3&lt;AF$3)*($Z171:$AI171-$AJ171:$AS171))))</f>
        <v>0</v>
      </c>
      <c r="M171" s="42" t="n">
        <f aca="false">AQ171+MIN(AG171-AQ171,MAX(0,'Start Here'!$B$10-SUM($AJ171:$AS171)-SUMPRODUCT(($Z$3:$AI$3&lt;AG$3)*($Z171:$AI171-$AJ171:$AS171))))</f>
        <v>0</v>
      </c>
      <c r="N171" s="42" t="n">
        <f aca="false">AR171+MIN(AH171-AR171,MAX(0,'Start Here'!$B$10-SUM($AJ171:$AS171)-SUMPRODUCT(($Z$3:$AI$3&lt;AH$3)*($Z171:$AI171-$AJ171:$AS171))))</f>
        <v>0</v>
      </c>
      <c r="O171" s="42" t="n">
        <f aca="false">AS171+MIN(AI171-AS171,MAX(0,'Start Here'!$B$10-SUM($AJ171:$AS171)-SUMPRODUCT(($Z$3:$AI$3&lt;AI$3)*($Z171:$AI171-$AJ171:$AS171))))</f>
        <v>0</v>
      </c>
      <c r="P171" s="42" t="n">
        <f aca="false">ROUND(Z171-F171,2)</f>
        <v>0</v>
      </c>
      <c r="Q171" s="42" t="n">
        <f aca="false">ROUND(AA171-G171,2)</f>
        <v>0</v>
      </c>
      <c r="R171" s="42" t="n">
        <f aca="false">ROUND(AB171-H171,2)</f>
        <v>0</v>
      </c>
      <c r="S171" s="42" t="n">
        <f aca="false">ROUND(AC171-I171,2)</f>
        <v>0</v>
      </c>
      <c r="T171" s="42" t="n">
        <f aca="false">ROUND(AD171-J171,2)</f>
        <v>0</v>
      </c>
      <c r="U171" s="42" t="n">
        <f aca="false">ROUND(AE171-K171,2)</f>
        <v>0</v>
      </c>
      <c r="V171" s="42" t="n">
        <f aca="false">ROUND(AF171-L171,2)</f>
        <v>0</v>
      </c>
      <c r="W171" s="42" t="n">
        <f aca="false">ROUND(AG171-M171,2)</f>
        <v>0</v>
      </c>
      <c r="X171" s="42" t="n">
        <f aca="false">ROUND(AH171-N171,2)</f>
        <v>0</v>
      </c>
      <c r="Y171" s="42" t="n">
        <f aca="false">ROUND(AI171-O171,2)</f>
        <v>0</v>
      </c>
      <c r="Z171" s="56" t="n">
        <f aca="false">ROUND(P170*(1+N(Debts!$D$5)/12),2)</f>
        <v>0</v>
      </c>
      <c r="AA171" s="56" t="n">
        <f aca="false">ROUND(Q170*(1+N(Debts!$D$6)/12),2)</f>
        <v>0</v>
      </c>
      <c r="AB171" s="56" t="n">
        <f aca="false">ROUND(R170*(1+N(Debts!$D$7)/12),2)</f>
        <v>0</v>
      </c>
      <c r="AC171" s="56" t="n">
        <f aca="false">ROUND(S170*(1+N(Debts!$D$8)/12),2)</f>
        <v>0</v>
      </c>
      <c r="AD171" s="56" t="n">
        <f aca="false">ROUND(T170*(1+N(Debts!$D$9)/12),2)</f>
        <v>0</v>
      </c>
      <c r="AE171" s="56" t="n">
        <f aca="false">ROUND(U170*(1+N(Debts!$D$10)/12),2)</f>
        <v>0</v>
      </c>
      <c r="AF171" s="56" t="n">
        <f aca="false">ROUND(V170*(1+N(Debts!$D$11)/12),2)</f>
        <v>0</v>
      </c>
      <c r="AG171" s="56" t="n">
        <f aca="false">ROUND(W170*(1+N(Debts!$D$12)/12),2)</f>
        <v>0</v>
      </c>
      <c r="AH171" s="56" t="n">
        <f aca="false">ROUND(X170*(1+N(Debts!$D$13)/12),2)</f>
        <v>0</v>
      </c>
      <c r="AI171" s="56" t="n">
        <f aca="false">ROUND(Y170*(1+N(Debts!$D$14)/12),2)</f>
        <v>0</v>
      </c>
      <c r="AJ171" s="56" t="n">
        <f aca="false">MIN(Z171,MAX(0,N(Debts!$E$5)))</f>
        <v>0</v>
      </c>
      <c r="AK171" s="56" t="n">
        <f aca="false">MIN(AA171,MAX(0,N(Debts!$E$6)))</f>
        <v>0</v>
      </c>
      <c r="AL171" s="56" t="n">
        <f aca="false">MIN(AB171,MAX(0,N(Debts!$E$7)))</f>
        <v>0</v>
      </c>
      <c r="AM171" s="56" t="n">
        <f aca="false">MIN(AC171,MAX(0,N(Debts!$E$8)))</f>
        <v>0</v>
      </c>
      <c r="AN171" s="56" t="n">
        <f aca="false">MIN(AD171,MAX(0,N(Debts!$E$9)))</f>
        <v>0</v>
      </c>
      <c r="AO171" s="56" t="n">
        <f aca="false">MIN(AE171,MAX(0,N(Debts!$E$10)))</f>
        <v>0</v>
      </c>
      <c r="AP171" s="56" t="n">
        <f aca="false">MIN(AF171,MAX(0,N(Debts!$E$11)))</f>
        <v>0</v>
      </c>
      <c r="AQ171" s="56" t="n">
        <f aca="false">MIN(AG171,MAX(0,N(Debts!$E$12)))</f>
        <v>0</v>
      </c>
      <c r="AR171" s="56" t="n">
        <f aca="false">MIN(AH171,MAX(0,N(Debts!$E$13)))</f>
        <v>0</v>
      </c>
      <c r="AS171" s="56" t="n">
        <f aca="false">MIN(AI171,MAX(0,N(Debts!$E$14)))</f>
        <v>0</v>
      </c>
    </row>
    <row r="172" customFormat="false" ht="15" hidden="false" customHeight="false" outlineLevel="0" collapsed="false">
      <c r="A172" s="53" t="n">
        <v>168</v>
      </c>
      <c r="B172" s="54" t="n">
        <f aca="false">EDATE('Start Here'!$B$8,167)</f>
        <v>51410</v>
      </c>
      <c r="C172" s="42" t="n">
        <f aca="false">SUM(F172:O172)</f>
        <v>0</v>
      </c>
      <c r="D172" s="42" t="n">
        <f aca="false">ROUND(SUM($Z172:$AI172)-SUM(P171:Y171),2)</f>
        <v>0</v>
      </c>
      <c r="E172" s="55" t="n">
        <f aca="false">SUM(P172:Y172)</f>
        <v>0</v>
      </c>
      <c r="F172" s="42" t="n">
        <f aca="false">AJ172+MIN(Z172-AJ172,MAX(0,'Start Here'!$B$10-SUM($AJ172:$AS172)-SUMPRODUCT(($Z$3:$AI$3&lt;Z$3)*($Z172:$AI172-$AJ172:$AS172))))</f>
        <v>0</v>
      </c>
      <c r="G172" s="42" t="n">
        <f aca="false">AK172+MIN(AA172-AK172,MAX(0,'Start Here'!$B$10-SUM($AJ172:$AS172)-SUMPRODUCT(($Z$3:$AI$3&lt;AA$3)*($Z172:$AI172-$AJ172:$AS172))))</f>
        <v>0</v>
      </c>
      <c r="H172" s="42" t="n">
        <f aca="false">AL172+MIN(AB172-AL172,MAX(0,'Start Here'!$B$10-SUM($AJ172:$AS172)-SUMPRODUCT(($Z$3:$AI$3&lt;AB$3)*($Z172:$AI172-$AJ172:$AS172))))</f>
        <v>0</v>
      </c>
      <c r="I172" s="42" t="n">
        <f aca="false">AM172+MIN(AC172-AM172,MAX(0,'Start Here'!$B$10-SUM($AJ172:$AS172)-SUMPRODUCT(($Z$3:$AI$3&lt;AC$3)*($Z172:$AI172-$AJ172:$AS172))))</f>
        <v>0</v>
      </c>
      <c r="J172" s="42" t="n">
        <f aca="false">AN172+MIN(AD172-AN172,MAX(0,'Start Here'!$B$10-SUM($AJ172:$AS172)-SUMPRODUCT(($Z$3:$AI$3&lt;AD$3)*($Z172:$AI172-$AJ172:$AS172))))</f>
        <v>0</v>
      </c>
      <c r="K172" s="42" t="n">
        <f aca="false">AO172+MIN(AE172-AO172,MAX(0,'Start Here'!$B$10-SUM($AJ172:$AS172)-SUMPRODUCT(($Z$3:$AI$3&lt;AE$3)*($Z172:$AI172-$AJ172:$AS172))))</f>
        <v>0</v>
      </c>
      <c r="L172" s="42" t="n">
        <f aca="false">AP172+MIN(AF172-AP172,MAX(0,'Start Here'!$B$10-SUM($AJ172:$AS172)-SUMPRODUCT(($Z$3:$AI$3&lt;AF$3)*($Z172:$AI172-$AJ172:$AS172))))</f>
        <v>0</v>
      </c>
      <c r="M172" s="42" t="n">
        <f aca="false">AQ172+MIN(AG172-AQ172,MAX(0,'Start Here'!$B$10-SUM($AJ172:$AS172)-SUMPRODUCT(($Z$3:$AI$3&lt;AG$3)*($Z172:$AI172-$AJ172:$AS172))))</f>
        <v>0</v>
      </c>
      <c r="N172" s="42" t="n">
        <f aca="false">AR172+MIN(AH172-AR172,MAX(0,'Start Here'!$B$10-SUM($AJ172:$AS172)-SUMPRODUCT(($Z$3:$AI$3&lt;AH$3)*($Z172:$AI172-$AJ172:$AS172))))</f>
        <v>0</v>
      </c>
      <c r="O172" s="42" t="n">
        <f aca="false">AS172+MIN(AI172-AS172,MAX(0,'Start Here'!$B$10-SUM($AJ172:$AS172)-SUMPRODUCT(($Z$3:$AI$3&lt;AI$3)*($Z172:$AI172-$AJ172:$AS172))))</f>
        <v>0</v>
      </c>
      <c r="P172" s="42" t="n">
        <f aca="false">ROUND(Z172-F172,2)</f>
        <v>0</v>
      </c>
      <c r="Q172" s="42" t="n">
        <f aca="false">ROUND(AA172-G172,2)</f>
        <v>0</v>
      </c>
      <c r="R172" s="42" t="n">
        <f aca="false">ROUND(AB172-H172,2)</f>
        <v>0</v>
      </c>
      <c r="S172" s="42" t="n">
        <f aca="false">ROUND(AC172-I172,2)</f>
        <v>0</v>
      </c>
      <c r="T172" s="42" t="n">
        <f aca="false">ROUND(AD172-J172,2)</f>
        <v>0</v>
      </c>
      <c r="U172" s="42" t="n">
        <f aca="false">ROUND(AE172-K172,2)</f>
        <v>0</v>
      </c>
      <c r="V172" s="42" t="n">
        <f aca="false">ROUND(AF172-L172,2)</f>
        <v>0</v>
      </c>
      <c r="W172" s="42" t="n">
        <f aca="false">ROUND(AG172-M172,2)</f>
        <v>0</v>
      </c>
      <c r="X172" s="42" t="n">
        <f aca="false">ROUND(AH172-N172,2)</f>
        <v>0</v>
      </c>
      <c r="Y172" s="42" t="n">
        <f aca="false">ROUND(AI172-O172,2)</f>
        <v>0</v>
      </c>
      <c r="Z172" s="56" t="n">
        <f aca="false">ROUND(P171*(1+N(Debts!$D$5)/12),2)</f>
        <v>0</v>
      </c>
      <c r="AA172" s="56" t="n">
        <f aca="false">ROUND(Q171*(1+N(Debts!$D$6)/12),2)</f>
        <v>0</v>
      </c>
      <c r="AB172" s="56" t="n">
        <f aca="false">ROUND(R171*(1+N(Debts!$D$7)/12),2)</f>
        <v>0</v>
      </c>
      <c r="AC172" s="56" t="n">
        <f aca="false">ROUND(S171*(1+N(Debts!$D$8)/12),2)</f>
        <v>0</v>
      </c>
      <c r="AD172" s="56" t="n">
        <f aca="false">ROUND(T171*(1+N(Debts!$D$9)/12),2)</f>
        <v>0</v>
      </c>
      <c r="AE172" s="56" t="n">
        <f aca="false">ROUND(U171*(1+N(Debts!$D$10)/12),2)</f>
        <v>0</v>
      </c>
      <c r="AF172" s="56" t="n">
        <f aca="false">ROUND(V171*(1+N(Debts!$D$11)/12),2)</f>
        <v>0</v>
      </c>
      <c r="AG172" s="56" t="n">
        <f aca="false">ROUND(W171*(1+N(Debts!$D$12)/12),2)</f>
        <v>0</v>
      </c>
      <c r="AH172" s="56" t="n">
        <f aca="false">ROUND(X171*(1+N(Debts!$D$13)/12),2)</f>
        <v>0</v>
      </c>
      <c r="AI172" s="56" t="n">
        <f aca="false">ROUND(Y171*(1+N(Debts!$D$14)/12),2)</f>
        <v>0</v>
      </c>
      <c r="AJ172" s="56" t="n">
        <f aca="false">MIN(Z172,MAX(0,N(Debts!$E$5)))</f>
        <v>0</v>
      </c>
      <c r="AK172" s="56" t="n">
        <f aca="false">MIN(AA172,MAX(0,N(Debts!$E$6)))</f>
        <v>0</v>
      </c>
      <c r="AL172" s="56" t="n">
        <f aca="false">MIN(AB172,MAX(0,N(Debts!$E$7)))</f>
        <v>0</v>
      </c>
      <c r="AM172" s="56" t="n">
        <f aca="false">MIN(AC172,MAX(0,N(Debts!$E$8)))</f>
        <v>0</v>
      </c>
      <c r="AN172" s="56" t="n">
        <f aca="false">MIN(AD172,MAX(0,N(Debts!$E$9)))</f>
        <v>0</v>
      </c>
      <c r="AO172" s="56" t="n">
        <f aca="false">MIN(AE172,MAX(0,N(Debts!$E$10)))</f>
        <v>0</v>
      </c>
      <c r="AP172" s="56" t="n">
        <f aca="false">MIN(AF172,MAX(0,N(Debts!$E$11)))</f>
        <v>0</v>
      </c>
      <c r="AQ172" s="56" t="n">
        <f aca="false">MIN(AG172,MAX(0,N(Debts!$E$12)))</f>
        <v>0</v>
      </c>
      <c r="AR172" s="56" t="n">
        <f aca="false">MIN(AH172,MAX(0,N(Debts!$E$13)))</f>
        <v>0</v>
      </c>
      <c r="AS172" s="56" t="n">
        <f aca="false">MIN(AI172,MAX(0,N(Debts!$E$14)))</f>
        <v>0</v>
      </c>
    </row>
    <row r="173" customFormat="false" ht="15" hidden="false" customHeight="false" outlineLevel="0" collapsed="false">
      <c r="A173" s="53" t="n">
        <v>169</v>
      </c>
      <c r="B173" s="54" t="n">
        <f aca="false">EDATE('Start Here'!$B$8,168)</f>
        <v>51441</v>
      </c>
      <c r="C173" s="42" t="n">
        <f aca="false">SUM(F173:O173)</f>
        <v>0</v>
      </c>
      <c r="D173" s="42" t="n">
        <f aca="false">ROUND(SUM($Z173:$AI173)-SUM(P172:Y172),2)</f>
        <v>0</v>
      </c>
      <c r="E173" s="55" t="n">
        <f aca="false">SUM(P173:Y173)</f>
        <v>0</v>
      </c>
      <c r="F173" s="42" t="n">
        <f aca="false">AJ173+MIN(Z173-AJ173,MAX(0,'Start Here'!$B$10-SUM($AJ173:$AS173)-SUMPRODUCT(($Z$3:$AI$3&lt;Z$3)*($Z173:$AI173-$AJ173:$AS173))))</f>
        <v>0</v>
      </c>
      <c r="G173" s="42" t="n">
        <f aca="false">AK173+MIN(AA173-AK173,MAX(0,'Start Here'!$B$10-SUM($AJ173:$AS173)-SUMPRODUCT(($Z$3:$AI$3&lt;AA$3)*($Z173:$AI173-$AJ173:$AS173))))</f>
        <v>0</v>
      </c>
      <c r="H173" s="42" t="n">
        <f aca="false">AL173+MIN(AB173-AL173,MAX(0,'Start Here'!$B$10-SUM($AJ173:$AS173)-SUMPRODUCT(($Z$3:$AI$3&lt;AB$3)*($Z173:$AI173-$AJ173:$AS173))))</f>
        <v>0</v>
      </c>
      <c r="I173" s="42" t="n">
        <f aca="false">AM173+MIN(AC173-AM173,MAX(0,'Start Here'!$B$10-SUM($AJ173:$AS173)-SUMPRODUCT(($Z$3:$AI$3&lt;AC$3)*($Z173:$AI173-$AJ173:$AS173))))</f>
        <v>0</v>
      </c>
      <c r="J173" s="42" t="n">
        <f aca="false">AN173+MIN(AD173-AN173,MAX(0,'Start Here'!$B$10-SUM($AJ173:$AS173)-SUMPRODUCT(($Z$3:$AI$3&lt;AD$3)*($Z173:$AI173-$AJ173:$AS173))))</f>
        <v>0</v>
      </c>
      <c r="K173" s="42" t="n">
        <f aca="false">AO173+MIN(AE173-AO173,MAX(0,'Start Here'!$B$10-SUM($AJ173:$AS173)-SUMPRODUCT(($Z$3:$AI$3&lt;AE$3)*($Z173:$AI173-$AJ173:$AS173))))</f>
        <v>0</v>
      </c>
      <c r="L173" s="42" t="n">
        <f aca="false">AP173+MIN(AF173-AP173,MAX(0,'Start Here'!$B$10-SUM($AJ173:$AS173)-SUMPRODUCT(($Z$3:$AI$3&lt;AF$3)*($Z173:$AI173-$AJ173:$AS173))))</f>
        <v>0</v>
      </c>
      <c r="M173" s="42" t="n">
        <f aca="false">AQ173+MIN(AG173-AQ173,MAX(0,'Start Here'!$B$10-SUM($AJ173:$AS173)-SUMPRODUCT(($Z$3:$AI$3&lt;AG$3)*($Z173:$AI173-$AJ173:$AS173))))</f>
        <v>0</v>
      </c>
      <c r="N173" s="42" t="n">
        <f aca="false">AR173+MIN(AH173-AR173,MAX(0,'Start Here'!$B$10-SUM($AJ173:$AS173)-SUMPRODUCT(($Z$3:$AI$3&lt;AH$3)*($Z173:$AI173-$AJ173:$AS173))))</f>
        <v>0</v>
      </c>
      <c r="O173" s="42" t="n">
        <f aca="false">AS173+MIN(AI173-AS173,MAX(0,'Start Here'!$B$10-SUM($AJ173:$AS173)-SUMPRODUCT(($Z$3:$AI$3&lt;AI$3)*($Z173:$AI173-$AJ173:$AS173))))</f>
        <v>0</v>
      </c>
      <c r="P173" s="42" t="n">
        <f aca="false">ROUND(Z173-F173,2)</f>
        <v>0</v>
      </c>
      <c r="Q173" s="42" t="n">
        <f aca="false">ROUND(AA173-G173,2)</f>
        <v>0</v>
      </c>
      <c r="R173" s="42" t="n">
        <f aca="false">ROUND(AB173-H173,2)</f>
        <v>0</v>
      </c>
      <c r="S173" s="42" t="n">
        <f aca="false">ROUND(AC173-I173,2)</f>
        <v>0</v>
      </c>
      <c r="T173" s="42" t="n">
        <f aca="false">ROUND(AD173-J173,2)</f>
        <v>0</v>
      </c>
      <c r="U173" s="42" t="n">
        <f aca="false">ROUND(AE173-K173,2)</f>
        <v>0</v>
      </c>
      <c r="V173" s="42" t="n">
        <f aca="false">ROUND(AF173-L173,2)</f>
        <v>0</v>
      </c>
      <c r="W173" s="42" t="n">
        <f aca="false">ROUND(AG173-M173,2)</f>
        <v>0</v>
      </c>
      <c r="X173" s="42" t="n">
        <f aca="false">ROUND(AH173-N173,2)</f>
        <v>0</v>
      </c>
      <c r="Y173" s="42" t="n">
        <f aca="false">ROUND(AI173-O173,2)</f>
        <v>0</v>
      </c>
      <c r="Z173" s="56" t="n">
        <f aca="false">ROUND(P172*(1+N(Debts!$D$5)/12),2)</f>
        <v>0</v>
      </c>
      <c r="AA173" s="56" t="n">
        <f aca="false">ROUND(Q172*(1+N(Debts!$D$6)/12),2)</f>
        <v>0</v>
      </c>
      <c r="AB173" s="56" t="n">
        <f aca="false">ROUND(R172*(1+N(Debts!$D$7)/12),2)</f>
        <v>0</v>
      </c>
      <c r="AC173" s="56" t="n">
        <f aca="false">ROUND(S172*(1+N(Debts!$D$8)/12),2)</f>
        <v>0</v>
      </c>
      <c r="AD173" s="56" t="n">
        <f aca="false">ROUND(T172*(1+N(Debts!$D$9)/12),2)</f>
        <v>0</v>
      </c>
      <c r="AE173" s="56" t="n">
        <f aca="false">ROUND(U172*(1+N(Debts!$D$10)/12),2)</f>
        <v>0</v>
      </c>
      <c r="AF173" s="56" t="n">
        <f aca="false">ROUND(V172*(1+N(Debts!$D$11)/12),2)</f>
        <v>0</v>
      </c>
      <c r="AG173" s="56" t="n">
        <f aca="false">ROUND(W172*(1+N(Debts!$D$12)/12),2)</f>
        <v>0</v>
      </c>
      <c r="AH173" s="56" t="n">
        <f aca="false">ROUND(X172*(1+N(Debts!$D$13)/12),2)</f>
        <v>0</v>
      </c>
      <c r="AI173" s="56" t="n">
        <f aca="false">ROUND(Y172*(1+N(Debts!$D$14)/12),2)</f>
        <v>0</v>
      </c>
      <c r="AJ173" s="56" t="n">
        <f aca="false">MIN(Z173,MAX(0,N(Debts!$E$5)))</f>
        <v>0</v>
      </c>
      <c r="AK173" s="56" t="n">
        <f aca="false">MIN(AA173,MAX(0,N(Debts!$E$6)))</f>
        <v>0</v>
      </c>
      <c r="AL173" s="56" t="n">
        <f aca="false">MIN(AB173,MAX(0,N(Debts!$E$7)))</f>
        <v>0</v>
      </c>
      <c r="AM173" s="56" t="n">
        <f aca="false">MIN(AC173,MAX(0,N(Debts!$E$8)))</f>
        <v>0</v>
      </c>
      <c r="AN173" s="56" t="n">
        <f aca="false">MIN(AD173,MAX(0,N(Debts!$E$9)))</f>
        <v>0</v>
      </c>
      <c r="AO173" s="56" t="n">
        <f aca="false">MIN(AE173,MAX(0,N(Debts!$E$10)))</f>
        <v>0</v>
      </c>
      <c r="AP173" s="56" t="n">
        <f aca="false">MIN(AF173,MAX(0,N(Debts!$E$11)))</f>
        <v>0</v>
      </c>
      <c r="AQ173" s="56" t="n">
        <f aca="false">MIN(AG173,MAX(0,N(Debts!$E$12)))</f>
        <v>0</v>
      </c>
      <c r="AR173" s="56" t="n">
        <f aca="false">MIN(AH173,MAX(0,N(Debts!$E$13)))</f>
        <v>0</v>
      </c>
      <c r="AS173" s="56" t="n">
        <f aca="false">MIN(AI173,MAX(0,N(Debts!$E$14)))</f>
        <v>0</v>
      </c>
    </row>
    <row r="174" customFormat="false" ht="15" hidden="false" customHeight="false" outlineLevel="0" collapsed="false">
      <c r="A174" s="53" t="n">
        <v>170</v>
      </c>
      <c r="B174" s="54" t="n">
        <f aca="false">EDATE('Start Here'!$B$8,169)</f>
        <v>51471</v>
      </c>
      <c r="C174" s="42" t="n">
        <f aca="false">SUM(F174:O174)</f>
        <v>0</v>
      </c>
      <c r="D174" s="42" t="n">
        <f aca="false">ROUND(SUM($Z174:$AI174)-SUM(P173:Y173),2)</f>
        <v>0</v>
      </c>
      <c r="E174" s="55" t="n">
        <f aca="false">SUM(P174:Y174)</f>
        <v>0</v>
      </c>
      <c r="F174" s="42" t="n">
        <f aca="false">AJ174+MIN(Z174-AJ174,MAX(0,'Start Here'!$B$10-SUM($AJ174:$AS174)-SUMPRODUCT(($Z$3:$AI$3&lt;Z$3)*($Z174:$AI174-$AJ174:$AS174))))</f>
        <v>0</v>
      </c>
      <c r="G174" s="42" t="n">
        <f aca="false">AK174+MIN(AA174-AK174,MAX(0,'Start Here'!$B$10-SUM($AJ174:$AS174)-SUMPRODUCT(($Z$3:$AI$3&lt;AA$3)*($Z174:$AI174-$AJ174:$AS174))))</f>
        <v>0</v>
      </c>
      <c r="H174" s="42" t="n">
        <f aca="false">AL174+MIN(AB174-AL174,MAX(0,'Start Here'!$B$10-SUM($AJ174:$AS174)-SUMPRODUCT(($Z$3:$AI$3&lt;AB$3)*($Z174:$AI174-$AJ174:$AS174))))</f>
        <v>0</v>
      </c>
      <c r="I174" s="42" t="n">
        <f aca="false">AM174+MIN(AC174-AM174,MAX(0,'Start Here'!$B$10-SUM($AJ174:$AS174)-SUMPRODUCT(($Z$3:$AI$3&lt;AC$3)*($Z174:$AI174-$AJ174:$AS174))))</f>
        <v>0</v>
      </c>
      <c r="J174" s="42" t="n">
        <f aca="false">AN174+MIN(AD174-AN174,MAX(0,'Start Here'!$B$10-SUM($AJ174:$AS174)-SUMPRODUCT(($Z$3:$AI$3&lt;AD$3)*($Z174:$AI174-$AJ174:$AS174))))</f>
        <v>0</v>
      </c>
      <c r="K174" s="42" t="n">
        <f aca="false">AO174+MIN(AE174-AO174,MAX(0,'Start Here'!$B$10-SUM($AJ174:$AS174)-SUMPRODUCT(($Z$3:$AI$3&lt;AE$3)*($Z174:$AI174-$AJ174:$AS174))))</f>
        <v>0</v>
      </c>
      <c r="L174" s="42" t="n">
        <f aca="false">AP174+MIN(AF174-AP174,MAX(0,'Start Here'!$B$10-SUM($AJ174:$AS174)-SUMPRODUCT(($Z$3:$AI$3&lt;AF$3)*($Z174:$AI174-$AJ174:$AS174))))</f>
        <v>0</v>
      </c>
      <c r="M174" s="42" t="n">
        <f aca="false">AQ174+MIN(AG174-AQ174,MAX(0,'Start Here'!$B$10-SUM($AJ174:$AS174)-SUMPRODUCT(($Z$3:$AI$3&lt;AG$3)*($Z174:$AI174-$AJ174:$AS174))))</f>
        <v>0</v>
      </c>
      <c r="N174" s="42" t="n">
        <f aca="false">AR174+MIN(AH174-AR174,MAX(0,'Start Here'!$B$10-SUM($AJ174:$AS174)-SUMPRODUCT(($Z$3:$AI$3&lt;AH$3)*($Z174:$AI174-$AJ174:$AS174))))</f>
        <v>0</v>
      </c>
      <c r="O174" s="42" t="n">
        <f aca="false">AS174+MIN(AI174-AS174,MAX(0,'Start Here'!$B$10-SUM($AJ174:$AS174)-SUMPRODUCT(($Z$3:$AI$3&lt;AI$3)*($Z174:$AI174-$AJ174:$AS174))))</f>
        <v>0</v>
      </c>
      <c r="P174" s="42" t="n">
        <f aca="false">ROUND(Z174-F174,2)</f>
        <v>0</v>
      </c>
      <c r="Q174" s="42" t="n">
        <f aca="false">ROUND(AA174-G174,2)</f>
        <v>0</v>
      </c>
      <c r="R174" s="42" t="n">
        <f aca="false">ROUND(AB174-H174,2)</f>
        <v>0</v>
      </c>
      <c r="S174" s="42" t="n">
        <f aca="false">ROUND(AC174-I174,2)</f>
        <v>0</v>
      </c>
      <c r="T174" s="42" t="n">
        <f aca="false">ROUND(AD174-J174,2)</f>
        <v>0</v>
      </c>
      <c r="U174" s="42" t="n">
        <f aca="false">ROUND(AE174-K174,2)</f>
        <v>0</v>
      </c>
      <c r="V174" s="42" t="n">
        <f aca="false">ROUND(AF174-L174,2)</f>
        <v>0</v>
      </c>
      <c r="W174" s="42" t="n">
        <f aca="false">ROUND(AG174-M174,2)</f>
        <v>0</v>
      </c>
      <c r="X174" s="42" t="n">
        <f aca="false">ROUND(AH174-N174,2)</f>
        <v>0</v>
      </c>
      <c r="Y174" s="42" t="n">
        <f aca="false">ROUND(AI174-O174,2)</f>
        <v>0</v>
      </c>
      <c r="Z174" s="56" t="n">
        <f aca="false">ROUND(P173*(1+N(Debts!$D$5)/12),2)</f>
        <v>0</v>
      </c>
      <c r="AA174" s="56" t="n">
        <f aca="false">ROUND(Q173*(1+N(Debts!$D$6)/12),2)</f>
        <v>0</v>
      </c>
      <c r="AB174" s="56" t="n">
        <f aca="false">ROUND(R173*(1+N(Debts!$D$7)/12),2)</f>
        <v>0</v>
      </c>
      <c r="AC174" s="56" t="n">
        <f aca="false">ROUND(S173*(1+N(Debts!$D$8)/12),2)</f>
        <v>0</v>
      </c>
      <c r="AD174" s="56" t="n">
        <f aca="false">ROUND(T173*(1+N(Debts!$D$9)/12),2)</f>
        <v>0</v>
      </c>
      <c r="AE174" s="56" t="n">
        <f aca="false">ROUND(U173*(1+N(Debts!$D$10)/12),2)</f>
        <v>0</v>
      </c>
      <c r="AF174" s="56" t="n">
        <f aca="false">ROUND(V173*(1+N(Debts!$D$11)/12),2)</f>
        <v>0</v>
      </c>
      <c r="AG174" s="56" t="n">
        <f aca="false">ROUND(W173*(1+N(Debts!$D$12)/12),2)</f>
        <v>0</v>
      </c>
      <c r="AH174" s="56" t="n">
        <f aca="false">ROUND(X173*(1+N(Debts!$D$13)/12),2)</f>
        <v>0</v>
      </c>
      <c r="AI174" s="56" t="n">
        <f aca="false">ROUND(Y173*(1+N(Debts!$D$14)/12),2)</f>
        <v>0</v>
      </c>
      <c r="AJ174" s="56" t="n">
        <f aca="false">MIN(Z174,MAX(0,N(Debts!$E$5)))</f>
        <v>0</v>
      </c>
      <c r="AK174" s="56" t="n">
        <f aca="false">MIN(AA174,MAX(0,N(Debts!$E$6)))</f>
        <v>0</v>
      </c>
      <c r="AL174" s="56" t="n">
        <f aca="false">MIN(AB174,MAX(0,N(Debts!$E$7)))</f>
        <v>0</v>
      </c>
      <c r="AM174" s="56" t="n">
        <f aca="false">MIN(AC174,MAX(0,N(Debts!$E$8)))</f>
        <v>0</v>
      </c>
      <c r="AN174" s="56" t="n">
        <f aca="false">MIN(AD174,MAX(0,N(Debts!$E$9)))</f>
        <v>0</v>
      </c>
      <c r="AO174" s="56" t="n">
        <f aca="false">MIN(AE174,MAX(0,N(Debts!$E$10)))</f>
        <v>0</v>
      </c>
      <c r="AP174" s="56" t="n">
        <f aca="false">MIN(AF174,MAX(0,N(Debts!$E$11)))</f>
        <v>0</v>
      </c>
      <c r="AQ174" s="56" t="n">
        <f aca="false">MIN(AG174,MAX(0,N(Debts!$E$12)))</f>
        <v>0</v>
      </c>
      <c r="AR174" s="56" t="n">
        <f aca="false">MIN(AH174,MAX(0,N(Debts!$E$13)))</f>
        <v>0</v>
      </c>
      <c r="AS174" s="56" t="n">
        <f aca="false">MIN(AI174,MAX(0,N(Debts!$E$14)))</f>
        <v>0</v>
      </c>
    </row>
    <row r="175" customFormat="false" ht="15" hidden="false" customHeight="false" outlineLevel="0" collapsed="false">
      <c r="A175" s="53" t="n">
        <v>171</v>
      </c>
      <c r="B175" s="54" t="n">
        <f aca="false">EDATE('Start Here'!$B$8,170)</f>
        <v>51502</v>
      </c>
      <c r="C175" s="42" t="n">
        <f aca="false">SUM(F175:O175)</f>
        <v>0</v>
      </c>
      <c r="D175" s="42" t="n">
        <f aca="false">ROUND(SUM($Z175:$AI175)-SUM(P174:Y174),2)</f>
        <v>0</v>
      </c>
      <c r="E175" s="55" t="n">
        <f aca="false">SUM(P175:Y175)</f>
        <v>0</v>
      </c>
      <c r="F175" s="42" t="n">
        <f aca="false">AJ175+MIN(Z175-AJ175,MAX(0,'Start Here'!$B$10-SUM($AJ175:$AS175)-SUMPRODUCT(($Z$3:$AI$3&lt;Z$3)*($Z175:$AI175-$AJ175:$AS175))))</f>
        <v>0</v>
      </c>
      <c r="G175" s="42" t="n">
        <f aca="false">AK175+MIN(AA175-AK175,MAX(0,'Start Here'!$B$10-SUM($AJ175:$AS175)-SUMPRODUCT(($Z$3:$AI$3&lt;AA$3)*($Z175:$AI175-$AJ175:$AS175))))</f>
        <v>0</v>
      </c>
      <c r="H175" s="42" t="n">
        <f aca="false">AL175+MIN(AB175-AL175,MAX(0,'Start Here'!$B$10-SUM($AJ175:$AS175)-SUMPRODUCT(($Z$3:$AI$3&lt;AB$3)*($Z175:$AI175-$AJ175:$AS175))))</f>
        <v>0</v>
      </c>
      <c r="I175" s="42" t="n">
        <f aca="false">AM175+MIN(AC175-AM175,MAX(0,'Start Here'!$B$10-SUM($AJ175:$AS175)-SUMPRODUCT(($Z$3:$AI$3&lt;AC$3)*($Z175:$AI175-$AJ175:$AS175))))</f>
        <v>0</v>
      </c>
      <c r="J175" s="42" t="n">
        <f aca="false">AN175+MIN(AD175-AN175,MAX(0,'Start Here'!$B$10-SUM($AJ175:$AS175)-SUMPRODUCT(($Z$3:$AI$3&lt;AD$3)*($Z175:$AI175-$AJ175:$AS175))))</f>
        <v>0</v>
      </c>
      <c r="K175" s="42" t="n">
        <f aca="false">AO175+MIN(AE175-AO175,MAX(0,'Start Here'!$B$10-SUM($AJ175:$AS175)-SUMPRODUCT(($Z$3:$AI$3&lt;AE$3)*($Z175:$AI175-$AJ175:$AS175))))</f>
        <v>0</v>
      </c>
      <c r="L175" s="42" t="n">
        <f aca="false">AP175+MIN(AF175-AP175,MAX(0,'Start Here'!$B$10-SUM($AJ175:$AS175)-SUMPRODUCT(($Z$3:$AI$3&lt;AF$3)*($Z175:$AI175-$AJ175:$AS175))))</f>
        <v>0</v>
      </c>
      <c r="M175" s="42" t="n">
        <f aca="false">AQ175+MIN(AG175-AQ175,MAX(0,'Start Here'!$B$10-SUM($AJ175:$AS175)-SUMPRODUCT(($Z$3:$AI$3&lt;AG$3)*($Z175:$AI175-$AJ175:$AS175))))</f>
        <v>0</v>
      </c>
      <c r="N175" s="42" t="n">
        <f aca="false">AR175+MIN(AH175-AR175,MAX(0,'Start Here'!$B$10-SUM($AJ175:$AS175)-SUMPRODUCT(($Z$3:$AI$3&lt;AH$3)*($Z175:$AI175-$AJ175:$AS175))))</f>
        <v>0</v>
      </c>
      <c r="O175" s="42" t="n">
        <f aca="false">AS175+MIN(AI175-AS175,MAX(0,'Start Here'!$B$10-SUM($AJ175:$AS175)-SUMPRODUCT(($Z$3:$AI$3&lt;AI$3)*($Z175:$AI175-$AJ175:$AS175))))</f>
        <v>0</v>
      </c>
      <c r="P175" s="42" t="n">
        <f aca="false">ROUND(Z175-F175,2)</f>
        <v>0</v>
      </c>
      <c r="Q175" s="42" t="n">
        <f aca="false">ROUND(AA175-G175,2)</f>
        <v>0</v>
      </c>
      <c r="R175" s="42" t="n">
        <f aca="false">ROUND(AB175-H175,2)</f>
        <v>0</v>
      </c>
      <c r="S175" s="42" t="n">
        <f aca="false">ROUND(AC175-I175,2)</f>
        <v>0</v>
      </c>
      <c r="T175" s="42" t="n">
        <f aca="false">ROUND(AD175-J175,2)</f>
        <v>0</v>
      </c>
      <c r="U175" s="42" t="n">
        <f aca="false">ROUND(AE175-K175,2)</f>
        <v>0</v>
      </c>
      <c r="V175" s="42" t="n">
        <f aca="false">ROUND(AF175-L175,2)</f>
        <v>0</v>
      </c>
      <c r="W175" s="42" t="n">
        <f aca="false">ROUND(AG175-M175,2)</f>
        <v>0</v>
      </c>
      <c r="X175" s="42" t="n">
        <f aca="false">ROUND(AH175-N175,2)</f>
        <v>0</v>
      </c>
      <c r="Y175" s="42" t="n">
        <f aca="false">ROUND(AI175-O175,2)</f>
        <v>0</v>
      </c>
      <c r="Z175" s="56" t="n">
        <f aca="false">ROUND(P174*(1+N(Debts!$D$5)/12),2)</f>
        <v>0</v>
      </c>
      <c r="AA175" s="56" t="n">
        <f aca="false">ROUND(Q174*(1+N(Debts!$D$6)/12),2)</f>
        <v>0</v>
      </c>
      <c r="AB175" s="56" t="n">
        <f aca="false">ROUND(R174*(1+N(Debts!$D$7)/12),2)</f>
        <v>0</v>
      </c>
      <c r="AC175" s="56" t="n">
        <f aca="false">ROUND(S174*(1+N(Debts!$D$8)/12),2)</f>
        <v>0</v>
      </c>
      <c r="AD175" s="56" t="n">
        <f aca="false">ROUND(T174*(1+N(Debts!$D$9)/12),2)</f>
        <v>0</v>
      </c>
      <c r="AE175" s="56" t="n">
        <f aca="false">ROUND(U174*(1+N(Debts!$D$10)/12),2)</f>
        <v>0</v>
      </c>
      <c r="AF175" s="56" t="n">
        <f aca="false">ROUND(V174*(1+N(Debts!$D$11)/12),2)</f>
        <v>0</v>
      </c>
      <c r="AG175" s="56" t="n">
        <f aca="false">ROUND(W174*(1+N(Debts!$D$12)/12),2)</f>
        <v>0</v>
      </c>
      <c r="AH175" s="56" t="n">
        <f aca="false">ROUND(X174*(1+N(Debts!$D$13)/12),2)</f>
        <v>0</v>
      </c>
      <c r="AI175" s="56" t="n">
        <f aca="false">ROUND(Y174*(1+N(Debts!$D$14)/12),2)</f>
        <v>0</v>
      </c>
      <c r="AJ175" s="56" t="n">
        <f aca="false">MIN(Z175,MAX(0,N(Debts!$E$5)))</f>
        <v>0</v>
      </c>
      <c r="AK175" s="56" t="n">
        <f aca="false">MIN(AA175,MAX(0,N(Debts!$E$6)))</f>
        <v>0</v>
      </c>
      <c r="AL175" s="56" t="n">
        <f aca="false">MIN(AB175,MAX(0,N(Debts!$E$7)))</f>
        <v>0</v>
      </c>
      <c r="AM175" s="56" t="n">
        <f aca="false">MIN(AC175,MAX(0,N(Debts!$E$8)))</f>
        <v>0</v>
      </c>
      <c r="AN175" s="56" t="n">
        <f aca="false">MIN(AD175,MAX(0,N(Debts!$E$9)))</f>
        <v>0</v>
      </c>
      <c r="AO175" s="56" t="n">
        <f aca="false">MIN(AE175,MAX(0,N(Debts!$E$10)))</f>
        <v>0</v>
      </c>
      <c r="AP175" s="56" t="n">
        <f aca="false">MIN(AF175,MAX(0,N(Debts!$E$11)))</f>
        <v>0</v>
      </c>
      <c r="AQ175" s="56" t="n">
        <f aca="false">MIN(AG175,MAX(0,N(Debts!$E$12)))</f>
        <v>0</v>
      </c>
      <c r="AR175" s="56" t="n">
        <f aca="false">MIN(AH175,MAX(0,N(Debts!$E$13)))</f>
        <v>0</v>
      </c>
      <c r="AS175" s="56" t="n">
        <f aca="false">MIN(AI175,MAX(0,N(Debts!$E$14)))</f>
        <v>0</v>
      </c>
    </row>
    <row r="176" customFormat="false" ht="15" hidden="false" customHeight="false" outlineLevel="0" collapsed="false">
      <c r="A176" s="53" t="n">
        <v>172</v>
      </c>
      <c r="B176" s="54" t="n">
        <f aca="false">EDATE('Start Here'!$B$8,171)</f>
        <v>51533</v>
      </c>
      <c r="C176" s="42" t="n">
        <f aca="false">SUM(F176:O176)</f>
        <v>0</v>
      </c>
      <c r="D176" s="42" t="n">
        <f aca="false">ROUND(SUM($Z176:$AI176)-SUM(P175:Y175),2)</f>
        <v>0</v>
      </c>
      <c r="E176" s="55" t="n">
        <f aca="false">SUM(P176:Y176)</f>
        <v>0</v>
      </c>
      <c r="F176" s="42" t="n">
        <f aca="false">AJ176+MIN(Z176-AJ176,MAX(0,'Start Here'!$B$10-SUM($AJ176:$AS176)-SUMPRODUCT(($Z$3:$AI$3&lt;Z$3)*($Z176:$AI176-$AJ176:$AS176))))</f>
        <v>0</v>
      </c>
      <c r="G176" s="42" t="n">
        <f aca="false">AK176+MIN(AA176-AK176,MAX(0,'Start Here'!$B$10-SUM($AJ176:$AS176)-SUMPRODUCT(($Z$3:$AI$3&lt;AA$3)*($Z176:$AI176-$AJ176:$AS176))))</f>
        <v>0</v>
      </c>
      <c r="H176" s="42" t="n">
        <f aca="false">AL176+MIN(AB176-AL176,MAX(0,'Start Here'!$B$10-SUM($AJ176:$AS176)-SUMPRODUCT(($Z$3:$AI$3&lt;AB$3)*($Z176:$AI176-$AJ176:$AS176))))</f>
        <v>0</v>
      </c>
      <c r="I176" s="42" t="n">
        <f aca="false">AM176+MIN(AC176-AM176,MAX(0,'Start Here'!$B$10-SUM($AJ176:$AS176)-SUMPRODUCT(($Z$3:$AI$3&lt;AC$3)*($Z176:$AI176-$AJ176:$AS176))))</f>
        <v>0</v>
      </c>
      <c r="J176" s="42" t="n">
        <f aca="false">AN176+MIN(AD176-AN176,MAX(0,'Start Here'!$B$10-SUM($AJ176:$AS176)-SUMPRODUCT(($Z$3:$AI$3&lt;AD$3)*($Z176:$AI176-$AJ176:$AS176))))</f>
        <v>0</v>
      </c>
      <c r="K176" s="42" t="n">
        <f aca="false">AO176+MIN(AE176-AO176,MAX(0,'Start Here'!$B$10-SUM($AJ176:$AS176)-SUMPRODUCT(($Z$3:$AI$3&lt;AE$3)*($Z176:$AI176-$AJ176:$AS176))))</f>
        <v>0</v>
      </c>
      <c r="L176" s="42" t="n">
        <f aca="false">AP176+MIN(AF176-AP176,MAX(0,'Start Here'!$B$10-SUM($AJ176:$AS176)-SUMPRODUCT(($Z$3:$AI$3&lt;AF$3)*($Z176:$AI176-$AJ176:$AS176))))</f>
        <v>0</v>
      </c>
      <c r="M176" s="42" t="n">
        <f aca="false">AQ176+MIN(AG176-AQ176,MAX(0,'Start Here'!$B$10-SUM($AJ176:$AS176)-SUMPRODUCT(($Z$3:$AI$3&lt;AG$3)*($Z176:$AI176-$AJ176:$AS176))))</f>
        <v>0</v>
      </c>
      <c r="N176" s="42" t="n">
        <f aca="false">AR176+MIN(AH176-AR176,MAX(0,'Start Here'!$B$10-SUM($AJ176:$AS176)-SUMPRODUCT(($Z$3:$AI$3&lt;AH$3)*($Z176:$AI176-$AJ176:$AS176))))</f>
        <v>0</v>
      </c>
      <c r="O176" s="42" t="n">
        <f aca="false">AS176+MIN(AI176-AS176,MAX(0,'Start Here'!$B$10-SUM($AJ176:$AS176)-SUMPRODUCT(($Z$3:$AI$3&lt;AI$3)*($Z176:$AI176-$AJ176:$AS176))))</f>
        <v>0</v>
      </c>
      <c r="P176" s="42" t="n">
        <f aca="false">ROUND(Z176-F176,2)</f>
        <v>0</v>
      </c>
      <c r="Q176" s="42" t="n">
        <f aca="false">ROUND(AA176-G176,2)</f>
        <v>0</v>
      </c>
      <c r="R176" s="42" t="n">
        <f aca="false">ROUND(AB176-H176,2)</f>
        <v>0</v>
      </c>
      <c r="S176" s="42" t="n">
        <f aca="false">ROUND(AC176-I176,2)</f>
        <v>0</v>
      </c>
      <c r="T176" s="42" t="n">
        <f aca="false">ROUND(AD176-J176,2)</f>
        <v>0</v>
      </c>
      <c r="U176" s="42" t="n">
        <f aca="false">ROUND(AE176-K176,2)</f>
        <v>0</v>
      </c>
      <c r="V176" s="42" t="n">
        <f aca="false">ROUND(AF176-L176,2)</f>
        <v>0</v>
      </c>
      <c r="W176" s="42" t="n">
        <f aca="false">ROUND(AG176-M176,2)</f>
        <v>0</v>
      </c>
      <c r="X176" s="42" t="n">
        <f aca="false">ROUND(AH176-N176,2)</f>
        <v>0</v>
      </c>
      <c r="Y176" s="42" t="n">
        <f aca="false">ROUND(AI176-O176,2)</f>
        <v>0</v>
      </c>
      <c r="Z176" s="56" t="n">
        <f aca="false">ROUND(P175*(1+N(Debts!$D$5)/12),2)</f>
        <v>0</v>
      </c>
      <c r="AA176" s="56" t="n">
        <f aca="false">ROUND(Q175*(1+N(Debts!$D$6)/12),2)</f>
        <v>0</v>
      </c>
      <c r="AB176" s="56" t="n">
        <f aca="false">ROUND(R175*(1+N(Debts!$D$7)/12),2)</f>
        <v>0</v>
      </c>
      <c r="AC176" s="56" t="n">
        <f aca="false">ROUND(S175*(1+N(Debts!$D$8)/12),2)</f>
        <v>0</v>
      </c>
      <c r="AD176" s="56" t="n">
        <f aca="false">ROUND(T175*(1+N(Debts!$D$9)/12),2)</f>
        <v>0</v>
      </c>
      <c r="AE176" s="56" t="n">
        <f aca="false">ROUND(U175*(1+N(Debts!$D$10)/12),2)</f>
        <v>0</v>
      </c>
      <c r="AF176" s="56" t="n">
        <f aca="false">ROUND(V175*(1+N(Debts!$D$11)/12),2)</f>
        <v>0</v>
      </c>
      <c r="AG176" s="56" t="n">
        <f aca="false">ROUND(W175*(1+N(Debts!$D$12)/12),2)</f>
        <v>0</v>
      </c>
      <c r="AH176" s="56" t="n">
        <f aca="false">ROUND(X175*(1+N(Debts!$D$13)/12),2)</f>
        <v>0</v>
      </c>
      <c r="AI176" s="56" t="n">
        <f aca="false">ROUND(Y175*(1+N(Debts!$D$14)/12),2)</f>
        <v>0</v>
      </c>
      <c r="AJ176" s="56" t="n">
        <f aca="false">MIN(Z176,MAX(0,N(Debts!$E$5)))</f>
        <v>0</v>
      </c>
      <c r="AK176" s="56" t="n">
        <f aca="false">MIN(AA176,MAX(0,N(Debts!$E$6)))</f>
        <v>0</v>
      </c>
      <c r="AL176" s="56" t="n">
        <f aca="false">MIN(AB176,MAX(0,N(Debts!$E$7)))</f>
        <v>0</v>
      </c>
      <c r="AM176" s="56" t="n">
        <f aca="false">MIN(AC176,MAX(0,N(Debts!$E$8)))</f>
        <v>0</v>
      </c>
      <c r="AN176" s="56" t="n">
        <f aca="false">MIN(AD176,MAX(0,N(Debts!$E$9)))</f>
        <v>0</v>
      </c>
      <c r="AO176" s="56" t="n">
        <f aca="false">MIN(AE176,MAX(0,N(Debts!$E$10)))</f>
        <v>0</v>
      </c>
      <c r="AP176" s="56" t="n">
        <f aca="false">MIN(AF176,MAX(0,N(Debts!$E$11)))</f>
        <v>0</v>
      </c>
      <c r="AQ176" s="56" t="n">
        <f aca="false">MIN(AG176,MAX(0,N(Debts!$E$12)))</f>
        <v>0</v>
      </c>
      <c r="AR176" s="56" t="n">
        <f aca="false">MIN(AH176,MAX(0,N(Debts!$E$13)))</f>
        <v>0</v>
      </c>
      <c r="AS176" s="56" t="n">
        <f aca="false">MIN(AI176,MAX(0,N(Debts!$E$14)))</f>
        <v>0</v>
      </c>
    </row>
    <row r="177" customFormat="false" ht="15" hidden="false" customHeight="false" outlineLevel="0" collapsed="false">
      <c r="A177" s="53" t="n">
        <v>173</v>
      </c>
      <c r="B177" s="54" t="n">
        <f aca="false">EDATE('Start Here'!$B$8,172)</f>
        <v>51561</v>
      </c>
      <c r="C177" s="42" t="n">
        <f aca="false">SUM(F177:O177)</f>
        <v>0</v>
      </c>
      <c r="D177" s="42" t="n">
        <f aca="false">ROUND(SUM($Z177:$AI177)-SUM(P176:Y176),2)</f>
        <v>0</v>
      </c>
      <c r="E177" s="55" t="n">
        <f aca="false">SUM(P177:Y177)</f>
        <v>0</v>
      </c>
      <c r="F177" s="42" t="n">
        <f aca="false">AJ177+MIN(Z177-AJ177,MAX(0,'Start Here'!$B$10-SUM($AJ177:$AS177)-SUMPRODUCT(($Z$3:$AI$3&lt;Z$3)*($Z177:$AI177-$AJ177:$AS177))))</f>
        <v>0</v>
      </c>
      <c r="G177" s="42" t="n">
        <f aca="false">AK177+MIN(AA177-AK177,MAX(0,'Start Here'!$B$10-SUM($AJ177:$AS177)-SUMPRODUCT(($Z$3:$AI$3&lt;AA$3)*($Z177:$AI177-$AJ177:$AS177))))</f>
        <v>0</v>
      </c>
      <c r="H177" s="42" t="n">
        <f aca="false">AL177+MIN(AB177-AL177,MAX(0,'Start Here'!$B$10-SUM($AJ177:$AS177)-SUMPRODUCT(($Z$3:$AI$3&lt;AB$3)*($Z177:$AI177-$AJ177:$AS177))))</f>
        <v>0</v>
      </c>
      <c r="I177" s="42" t="n">
        <f aca="false">AM177+MIN(AC177-AM177,MAX(0,'Start Here'!$B$10-SUM($AJ177:$AS177)-SUMPRODUCT(($Z$3:$AI$3&lt;AC$3)*($Z177:$AI177-$AJ177:$AS177))))</f>
        <v>0</v>
      </c>
      <c r="J177" s="42" t="n">
        <f aca="false">AN177+MIN(AD177-AN177,MAX(0,'Start Here'!$B$10-SUM($AJ177:$AS177)-SUMPRODUCT(($Z$3:$AI$3&lt;AD$3)*($Z177:$AI177-$AJ177:$AS177))))</f>
        <v>0</v>
      </c>
      <c r="K177" s="42" t="n">
        <f aca="false">AO177+MIN(AE177-AO177,MAX(0,'Start Here'!$B$10-SUM($AJ177:$AS177)-SUMPRODUCT(($Z$3:$AI$3&lt;AE$3)*($Z177:$AI177-$AJ177:$AS177))))</f>
        <v>0</v>
      </c>
      <c r="L177" s="42" t="n">
        <f aca="false">AP177+MIN(AF177-AP177,MAX(0,'Start Here'!$B$10-SUM($AJ177:$AS177)-SUMPRODUCT(($Z$3:$AI$3&lt;AF$3)*($Z177:$AI177-$AJ177:$AS177))))</f>
        <v>0</v>
      </c>
      <c r="M177" s="42" t="n">
        <f aca="false">AQ177+MIN(AG177-AQ177,MAX(0,'Start Here'!$B$10-SUM($AJ177:$AS177)-SUMPRODUCT(($Z$3:$AI$3&lt;AG$3)*($Z177:$AI177-$AJ177:$AS177))))</f>
        <v>0</v>
      </c>
      <c r="N177" s="42" t="n">
        <f aca="false">AR177+MIN(AH177-AR177,MAX(0,'Start Here'!$B$10-SUM($AJ177:$AS177)-SUMPRODUCT(($Z$3:$AI$3&lt;AH$3)*($Z177:$AI177-$AJ177:$AS177))))</f>
        <v>0</v>
      </c>
      <c r="O177" s="42" t="n">
        <f aca="false">AS177+MIN(AI177-AS177,MAX(0,'Start Here'!$B$10-SUM($AJ177:$AS177)-SUMPRODUCT(($Z$3:$AI$3&lt;AI$3)*($Z177:$AI177-$AJ177:$AS177))))</f>
        <v>0</v>
      </c>
      <c r="P177" s="42" t="n">
        <f aca="false">ROUND(Z177-F177,2)</f>
        <v>0</v>
      </c>
      <c r="Q177" s="42" t="n">
        <f aca="false">ROUND(AA177-G177,2)</f>
        <v>0</v>
      </c>
      <c r="R177" s="42" t="n">
        <f aca="false">ROUND(AB177-H177,2)</f>
        <v>0</v>
      </c>
      <c r="S177" s="42" t="n">
        <f aca="false">ROUND(AC177-I177,2)</f>
        <v>0</v>
      </c>
      <c r="T177" s="42" t="n">
        <f aca="false">ROUND(AD177-J177,2)</f>
        <v>0</v>
      </c>
      <c r="U177" s="42" t="n">
        <f aca="false">ROUND(AE177-K177,2)</f>
        <v>0</v>
      </c>
      <c r="V177" s="42" t="n">
        <f aca="false">ROUND(AF177-L177,2)</f>
        <v>0</v>
      </c>
      <c r="W177" s="42" t="n">
        <f aca="false">ROUND(AG177-M177,2)</f>
        <v>0</v>
      </c>
      <c r="X177" s="42" t="n">
        <f aca="false">ROUND(AH177-N177,2)</f>
        <v>0</v>
      </c>
      <c r="Y177" s="42" t="n">
        <f aca="false">ROUND(AI177-O177,2)</f>
        <v>0</v>
      </c>
      <c r="Z177" s="56" t="n">
        <f aca="false">ROUND(P176*(1+N(Debts!$D$5)/12),2)</f>
        <v>0</v>
      </c>
      <c r="AA177" s="56" t="n">
        <f aca="false">ROUND(Q176*(1+N(Debts!$D$6)/12),2)</f>
        <v>0</v>
      </c>
      <c r="AB177" s="56" t="n">
        <f aca="false">ROUND(R176*(1+N(Debts!$D$7)/12),2)</f>
        <v>0</v>
      </c>
      <c r="AC177" s="56" t="n">
        <f aca="false">ROUND(S176*(1+N(Debts!$D$8)/12),2)</f>
        <v>0</v>
      </c>
      <c r="AD177" s="56" t="n">
        <f aca="false">ROUND(T176*(1+N(Debts!$D$9)/12),2)</f>
        <v>0</v>
      </c>
      <c r="AE177" s="56" t="n">
        <f aca="false">ROUND(U176*(1+N(Debts!$D$10)/12),2)</f>
        <v>0</v>
      </c>
      <c r="AF177" s="56" t="n">
        <f aca="false">ROUND(V176*(1+N(Debts!$D$11)/12),2)</f>
        <v>0</v>
      </c>
      <c r="AG177" s="56" t="n">
        <f aca="false">ROUND(W176*(1+N(Debts!$D$12)/12),2)</f>
        <v>0</v>
      </c>
      <c r="AH177" s="56" t="n">
        <f aca="false">ROUND(X176*(1+N(Debts!$D$13)/12),2)</f>
        <v>0</v>
      </c>
      <c r="AI177" s="56" t="n">
        <f aca="false">ROUND(Y176*(1+N(Debts!$D$14)/12),2)</f>
        <v>0</v>
      </c>
      <c r="AJ177" s="56" t="n">
        <f aca="false">MIN(Z177,MAX(0,N(Debts!$E$5)))</f>
        <v>0</v>
      </c>
      <c r="AK177" s="56" t="n">
        <f aca="false">MIN(AA177,MAX(0,N(Debts!$E$6)))</f>
        <v>0</v>
      </c>
      <c r="AL177" s="56" t="n">
        <f aca="false">MIN(AB177,MAX(0,N(Debts!$E$7)))</f>
        <v>0</v>
      </c>
      <c r="AM177" s="56" t="n">
        <f aca="false">MIN(AC177,MAX(0,N(Debts!$E$8)))</f>
        <v>0</v>
      </c>
      <c r="AN177" s="56" t="n">
        <f aca="false">MIN(AD177,MAX(0,N(Debts!$E$9)))</f>
        <v>0</v>
      </c>
      <c r="AO177" s="56" t="n">
        <f aca="false">MIN(AE177,MAX(0,N(Debts!$E$10)))</f>
        <v>0</v>
      </c>
      <c r="AP177" s="56" t="n">
        <f aca="false">MIN(AF177,MAX(0,N(Debts!$E$11)))</f>
        <v>0</v>
      </c>
      <c r="AQ177" s="56" t="n">
        <f aca="false">MIN(AG177,MAX(0,N(Debts!$E$12)))</f>
        <v>0</v>
      </c>
      <c r="AR177" s="56" t="n">
        <f aca="false">MIN(AH177,MAX(0,N(Debts!$E$13)))</f>
        <v>0</v>
      </c>
      <c r="AS177" s="56" t="n">
        <f aca="false">MIN(AI177,MAX(0,N(Debts!$E$14)))</f>
        <v>0</v>
      </c>
    </row>
    <row r="178" customFormat="false" ht="15" hidden="false" customHeight="false" outlineLevel="0" collapsed="false">
      <c r="A178" s="53" t="n">
        <v>174</v>
      </c>
      <c r="B178" s="54" t="n">
        <f aca="false">EDATE('Start Here'!$B$8,173)</f>
        <v>51592</v>
      </c>
      <c r="C178" s="42" t="n">
        <f aca="false">SUM(F178:O178)</f>
        <v>0</v>
      </c>
      <c r="D178" s="42" t="n">
        <f aca="false">ROUND(SUM($Z178:$AI178)-SUM(P177:Y177),2)</f>
        <v>0</v>
      </c>
      <c r="E178" s="55" t="n">
        <f aca="false">SUM(P178:Y178)</f>
        <v>0</v>
      </c>
      <c r="F178" s="42" t="n">
        <f aca="false">AJ178+MIN(Z178-AJ178,MAX(0,'Start Here'!$B$10-SUM($AJ178:$AS178)-SUMPRODUCT(($Z$3:$AI$3&lt;Z$3)*($Z178:$AI178-$AJ178:$AS178))))</f>
        <v>0</v>
      </c>
      <c r="G178" s="42" t="n">
        <f aca="false">AK178+MIN(AA178-AK178,MAX(0,'Start Here'!$B$10-SUM($AJ178:$AS178)-SUMPRODUCT(($Z$3:$AI$3&lt;AA$3)*($Z178:$AI178-$AJ178:$AS178))))</f>
        <v>0</v>
      </c>
      <c r="H178" s="42" t="n">
        <f aca="false">AL178+MIN(AB178-AL178,MAX(0,'Start Here'!$B$10-SUM($AJ178:$AS178)-SUMPRODUCT(($Z$3:$AI$3&lt;AB$3)*($Z178:$AI178-$AJ178:$AS178))))</f>
        <v>0</v>
      </c>
      <c r="I178" s="42" t="n">
        <f aca="false">AM178+MIN(AC178-AM178,MAX(0,'Start Here'!$B$10-SUM($AJ178:$AS178)-SUMPRODUCT(($Z$3:$AI$3&lt;AC$3)*($Z178:$AI178-$AJ178:$AS178))))</f>
        <v>0</v>
      </c>
      <c r="J178" s="42" t="n">
        <f aca="false">AN178+MIN(AD178-AN178,MAX(0,'Start Here'!$B$10-SUM($AJ178:$AS178)-SUMPRODUCT(($Z$3:$AI$3&lt;AD$3)*($Z178:$AI178-$AJ178:$AS178))))</f>
        <v>0</v>
      </c>
      <c r="K178" s="42" t="n">
        <f aca="false">AO178+MIN(AE178-AO178,MAX(0,'Start Here'!$B$10-SUM($AJ178:$AS178)-SUMPRODUCT(($Z$3:$AI$3&lt;AE$3)*($Z178:$AI178-$AJ178:$AS178))))</f>
        <v>0</v>
      </c>
      <c r="L178" s="42" t="n">
        <f aca="false">AP178+MIN(AF178-AP178,MAX(0,'Start Here'!$B$10-SUM($AJ178:$AS178)-SUMPRODUCT(($Z$3:$AI$3&lt;AF$3)*($Z178:$AI178-$AJ178:$AS178))))</f>
        <v>0</v>
      </c>
      <c r="M178" s="42" t="n">
        <f aca="false">AQ178+MIN(AG178-AQ178,MAX(0,'Start Here'!$B$10-SUM($AJ178:$AS178)-SUMPRODUCT(($Z$3:$AI$3&lt;AG$3)*($Z178:$AI178-$AJ178:$AS178))))</f>
        <v>0</v>
      </c>
      <c r="N178" s="42" t="n">
        <f aca="false">AR178+MIN(AH178-AR178,MAX(0,'Start Here'!$B$10-SUM($AJ178:$AS178)-SUMPRODUCT(($Z$3:$AI$3&lt;AH$3)*($Z178:$AI178-$AJ178:$AS178))))</f>
        <v>0</v>
      </c>
      <c r="O178" s="42" t="n">
        <f aca="false">AS178+MIN(AI178-AS178,MAX(0,'Start Here'!$B$10-SUM($AJ178:$AS178)-SUMPRODUCT(($Z$3:$AI$3&lt;AI$3)*($Z178:$AI178-$AJ178:$AS178))))</f>
        <v>0</v>
      </c>
      <c r="P178" s="42" t="n">
        <f aca="false">ROUND(Z178-F178,2)</f>
        <v>0</v>
      </c>
      <c r="Q178" s="42" t="n">
        <f aca="false">ROUND(AA178-G178,2)</f>
        <v>0</v>
      </c>
      <c r="R178" s="42" t="n">
        <f aca="false">ROUND(AB178-H178,2)</f>
        <v>0</v>
      </c>
      <c r="S178" s="42" t="n">
        <f aca="false">ROUND(AC178-I178,2)</f>
        <v>0</v>
      </c>
      <c r="T178" s="42" t="n">
        <f aca="false">ROUND(AD178-J178,2)</f>
        <v>0</v>
      </c>
      <c r="U178" s="42" t="n">
        <f aca="false">ROUND(AE178-K178,2)</f>
        <v>0</v>
      </c>
      <c r="V178" s="42" t="n">
        <f aca="false">ROUND(AF178-L178,2)</f>
        <v>0</v>
      </c>
      <c r="W178" s="42" t="n">
        <f aca="false">ROUND(AG178-M178,2)</f>
        <v>0</v>
      </c>
      <c r="X178" s="42" t="n">
        <f aca="false">ROUND(AH178-N178,2)</f>
        <v>0</v>
      </c>
      <c r="Y178" s="42" t="n">
        <f aca="false">ROUND(AI178-O178,2)</f>
        <v>0</v>
      </c>
      <c r="Z178" s="56" t="n">
        <f aca="false">ROUND(P177*(1+N(Debts!$D$5)/12),2)</f>
        <v>0</v>
      </c>
      <c r="AA178" s="56" t="n">
        <f aca="false">ROUND(Q177*(1+N(Debts!$D$6)/12),2)</f>
        <v>0</v>
      </c>
      <c r="AB178" s="56" t="n">
        <f aca="false">ROUND(R177*(1+N(Debts!$D$7)/12),2)</f>
        <v>0</v>
      </c>
      <c r="AC178" s="56" t="n">
        <f aca="false">ROUND(S177*(1+N(Debts!$D$8)/12),2)</f>
        <v>0</v>
      </c>
      <c r="AD178" s="56" t="n">
        <f aca="false">ROUND(T177*(1+N(Debts!$D$9)/12),2)</f>
        <v>0</v>
      </c>
      <c r="AE178" s="56" t="n">
        <f aca="false">ROUND(U177*(1+N(Debts!$D$10)/12),2)</f>
        <v>0</v>
      </c>
      <c r="AF178" s="56" t="n">
        <f aca="false">ROUND(V177*(1+N(Debts!$D$11)/12),2)</f>
        <v>0</v>
      </c>
      <c r="AG178" s="56" t="n">
        <f aca="false">ROUND(W177*(1+N(Debts!$D$12)/12),2)</f>
        <v>0</v>
      </c>
      <c r="AH178" s="56" t="n">
        <f aca="false">ROUND(X177*(1+N(Debts!$D$13)/12),2)</f>
        <v>0</v>
      </c>
      <c r="AI178" s="56" t="n">
        <f aca="false">ROUND(Y177*(1+N(Debts!$D$14)/12),2)</f>
        <v>0</v>
      </c>
      <c r="AJ178" s="56" t="n">
        <f aca="false">MIN(Z178,MAX(0,N(Debts!$E$5)))</f>
        <v>0</v>
      </c>
      <c r="AK178" s="56" t="n">
        <f aca="false">MIN(AA178,MAX(0,N(Debts!$E$6)))</f>
        <v>0</v>
      </c>
      <c r="AL178" s="56" t="n">
        <f aca="false">MIN(AB178,MAX(0,N(Debts!$E$7)))</f>
        <v>0</v>
      </c>
      <c r="AM178" s="56" t="n">
        <f aca="false">MIN(AC178,MAX(0,N(Debts!$E$8)))</f>
        <v>0</v>
      </c>
      <c r="AN178" s="56" t="n">
        <f aca="false">MIN(AD178,MAX(0,N(Debts!$E$9)))</f>
        <v>0</v>
      </c>
      <c r="AO178" s="56" t="n">
        <f aca="false">MIN(AE178,MAX(0,N(Debts!$E$10)))</f>
        <v>0</v>
      </c>
      <c r="AP178" s="56" t="n">
        <f aca="false">MIN(AF178,MAX(0,N(Debts!$E$11)))</f>
        <v>0</v>
      </c>
      <c r="AQ178" s="56" t="n">
        <f aca="false">MIN(AG178,MAX(0,N(Debts!$E$12)))</f>
        <v>0</v>
      </c>
      <c r="AR178" s="56" t="n">
        <f aca="false">MIN(AH178,MAX(0,N(Debts!$E$13)))</f>
        <v>0</v>
      </c>
      <c r="AS178" s="56" t="n">
        <f aca="false">MIN(AI178,MAX(0,N(Debts!$E$14)))</f>
        <v>0</v>
      </c>
    </row>
    <row r="179" customFormat="false" ht="15" hidden="false" customHeight="false" outlineLevel="0" collapsed="false">
      <c r="A179" s="53" t="n">
        <v>175</v>
      </c>
      <c r="B179" s="54" t="n">
        <f aca="false">EDATE('Start Here'!$B$8,174)</f>
        <v>51622</v>
      </c>
      <c r="C179" s="42" t="n">
        <f aca="false">SUM(F179:O179)</f>
        <v>0</v>
      </c>
      <c r="D179" s="42" t="n">
        <f aca="false">ROUND(SUM($Z179:$AI179)-SUM(P178:Y178),2)</f>
        <v>0</v>
      </c>
      <c r="E179" s="55" t="n">
        <f aca="false">SUM(P179:Y179)</f>
        <v>0</v>
      </c>
      <c r="F179" s="42" t="n">
        <f aca="false">AJ179+MIN(Z179-AJ179,MAX(0,'Start Here'!$B$10-SUM($AJ179:$AS179)-SUMPRODUCT(($Z$3:$AI$3&lt;Z$3)*($Z179:$AI179-$AJ179:$AS179))))</f>
        <v>0</v>
      </c>
      <c r="G179" s="42" t="n">
        <f aca="false">AK179+MIN(AA179-AK179,MAX(0,'Start Here'!$B$10-SUM($AJ179:$AS179)-SUMPRODUCT(($Z$3:$AI$3&lt;AA$3)*($Z179:$AI179-$AJ179:$AS179))))</f>
        <v>0</v>
      </c>
      <c r="H179" s="42" t="n">
        <f aca="false">AL179+MIN(AB179-AL179,MAX(0,'Start Here'!$B$10-SUM($AJ179:$AS179)-SUMPRODUCT(($Z$3:$AI$3&lt;AB$3)*($Z179:$AI179-$AJ179:$AS179))))</f>
        <v>0</v>
      </c>
      <c r="I179" s="42" t="n">
        <f aca="false">AM179+MIN(AC179-AM179,MAX(0,'Start Here'!$B$10-SUM($AJ179:$AS179)-SUMPRODUCT(($Z$3:$AI$3&lt;AC$3)*($Z179:$AI179-$AJ179:$AS179))))</f>
        <v>0</v>
      </c>
      <c r="J179" s="42" t="n">
        <f aca="false">AN179+MIN(AD179-AN179,MAX(0,'Start Here'!$B$10-SUM($AJ179:$AS179)-SUMPRODUCT(($Z$3:$AI$3&lt;AD$3)*($Z179:$AI179-$AJ179:$AS179))))</f>
        <v>0</v>
      </c>
      <c r="K179" s="42" t="n">
        <f aca="false">AO179+MIN(AE179-AO179,MAX(0,'Start Here'!$B$10-SUM($AJ179:$AS179)-SUMPRODUCT(($Z$3:$AI$3&lt;AE$3)*($Z179:$AI179-$AJ179:$AS179))))</f>
        <v>0</v>
      </c>
      <c r="L179" s="42" t="n">
        <f aca="false">AP179+MIN(AF179-AP179,MAX(0,'Start Here'!$B$10-SUM($AJ179:$AS179)-SUMPRODUCT(($Z$3:$AI$3&lt;AF$3)*($Z179:$AI179-$AJ179:$AS179))))</f>
        <v>0</v>
      </c>
      <c r="M179" s="42" t="n">
        <f aca="false">AQ179+MIN(AG179-AQ179,MAX(0,'Start Here'!$B$10-SUM($AJ179:$AS179)-SUMPRODUCT(($Z$3:$AI$3&lt;AG$3)*($Z179:$AI179-$AJ179:$AS179))))</f>
        <v>0</v>
      </c>
      <c r="N179" s="42" t="n">
        <f aca="false">AR179+MIN(AH179-AR179,MAX(0,'Start Here'!$B$10-SUM($AJ179:$AS179)-SUMPRODUCT(($Z$3:$AI$3&lt;AH$3)*($Z179:$AI179-$AJ179:$AS179))))</f>
        <v>0</v>
      </c>
      <c r="O179" s="42" t="n">
        <f aca="false">AS179+MIN(AI179-AS179,MAX(0,'Start Here'!$B$10-SUM($AJ179:$AS179)-SUMPRODUCT(($Z$3:$AI$3&lt;AI$3)*($Z179:$AI179-$AJ179:$AS179))))</f>
        <v>0</v>
      </c>
      <c r="P179" s="42" t="n">
        <f aca="false">ROUND(Z179-F179,2)</f>
        <v>0</v>
      </c>
      <c r="Q179" s="42" t="n">
        <f aca="false">ROUND(AA179-G179,2)</f>
        <v>0</v>
      </c>
      <c r="R179" s="42" t="n">
        <f aca="false">ROUND(AB179-H179,2)</f>
        <v>0</v>
      </c>
      <c r="S179" s="42" t="n">
        <f aca="false">ROUND(AC179-I179,2)</f>
        <v>0</v>
      </c>
      <c r="T179" s="42" t="n">
        <f aca="false">ROUND(AD179-J179,2)</f>
        <v>0</v>
      </c>
      <c r="U179" s="42" t="n">
        <f aca="false">ROUND(AE179-K179,2)</f>
        <v>0</v>
      </c>
      <c r="V179" s="42" t="n">
        <f aca="false">ROUND(AF179-L179,2)</f>
        <v>0</v>
      </c>
      <c r="W179" s="42" t="n">
        <f aca="false">ROUND(AG179-M179,2)</f>
        <v>0</v>
      </c>
      <c r="X179" s="42" t="n">
        <f aca="false">ROUND(AH179-N179,2)</f>
        <v>0</v>
      </c>
      <c r="Y179" s="42" t="n">
        <f aca="false">ROUND(AI179-O179,2)</f>
        <v>0</v>
      </c>
      <c r="Z179" s="56" t="n">
        <f aca="false">ROUND(P178*(1+N(Debts!$D$5)/12),2)</f>
        <v>0</v>
      </c>
      <c r="AA179" s="56" t="n">
        <f aca="false">ROUND(Q178*(1+N(Debts!$D$6)/12),2)</f>
        <v>0</v>
      </c>
      <c r="AB179" s="56" t="n">
        <f aca="false">ROUND(R178*(1+N(Debts!$D$7)/12),2)</f>
        <v>0</v>
      </c>
      <c r="AC179" s="56" t="n">
        <f aca="false">ROUND(S178*(1+N(Debts!$D$8)/12),2)</f>
        <v>0</v>
      </c>
      <c r="AD179" s="56" t="n">
        <f aca="false">ROUND(T178*(1+N(Debts!$D$9)/12),2)</f>
        <v>0</v>
      </c>
      <c r="AE179" s="56" t="n">
        <f aca="false">ROUND(U178*(1+N(Debts!$D$10)/12),2)</f>
        <v>0</v>
      </c>
      <c r="AF179" s="56" t="n">
        <f aca="false">ROUND(V178*(1+N(Debts!$D$11)/12),2)</f>
        <v>0</v>
      </c>
      <c r="AG179" s="56" t="n">
        <f aca="false">ROUND(W178*(1+N(Debts!$D$12)/12),2)</f>
        <v>0</v>
      </c>
      <c r="AH179" s="56" t="n">
        <f aca="false">ROUND(X178*(1+N(Debts!$D$13)/12),2)</f>
        <v>0</v>
      </c>
      <c r="AI179" s="56" t="n">
        <f aca="false">ROUND(Y178*(1+N(Debts!$D$14)/12),2)</f>
        <v>0</v>
      </c>
      <c r="AJ179" s="56" t="n">
        <f aca="false">MIN(Z179,MAX(0,N(Debts!$E$5)))</f>
        <v>0</v>
      </c>
      <c r="AK179" s="56" t="n">
        <f aca="false">MIN(AA179,MAX(0,N(Debts!$E$6)))</f>
        <v>0</v>
      </c>
      <c r="AL179" s="56" t="n">
        <f aca="false">MIN(AB179,MAX(0,N(Debts!$E$7)))</f>
        <v>0</v>
      </c>
      <c r="AM179" s="56" t="n">
        <f aca="false">MIN(AC179,MAX(0,N(Debts!$E$8)))</f>
        <v>0</v>
      </c>
      <c r="AN179" s="56" t="n">
        <f aca="false">MIN(AD179,MAX(0,N(Debts!$E$9)))</f>
        <v>0</v>
      </c>
      <c r="AO179" s="56" t="n">
        <f aca="false">MIN(AE179,MAX(0,N(Debts!$E$10)))</f>
        <v>0</v>
      </c>
      <c r="AP179" s="56" t="n">
        <f aca="false">MIN(AF179,MAX(0,N(Debts!$E$11)))</f>
        <v>0</v>
      </c>
      <c r="AQ179" s="56" t="n">
        <f aca="false">MIN(AG179,MAX(0,N(Debts!$E$12)))</f>
        <v>0</v>
      </c>
      <c r="AR179" s="56" t="n">
        <f aca="false">MIN(AH179,MAX(0,N(Debts!$E$13)))</f>
        <v>0</v>
      </c>
      <c r="AS179" s="56" t="n">
        <f aca="false">MIN(AI179,MAX(0,N(Debts!$E$14)))</f>
        <v>0</v>
      </c>
    </row>
    <row r="180" customFormat="false" ht="15" hidden="false" customHeight="false" outlineLevel="0" collapsed="false">
      <c r="A180" s="53" t="n">
        <v>176</v>
      </c>
      <c r="B180" s="54" t="n">
        <f aca="false">EDATE('Start Here'!$B$8,175)</f>
        <v>51653</v>
      </c>
      <c r="C180" s="42" t="n">
        <f aca="false">SUM(F180:O180)</f>
        <v>0</v>
      </c>
      <c r="D180" s="42" t="n">
        <f aca="false">ROUND(SUM($Z180:$AI180)-SUM(P179:Y179),2)</f>
        <v>0</v>
      </c>
      <c r="E180" s="55" t="n">
        <f aca="false">SUM(P180:Y180)</f>
        <v>0</v>
      </c>
      <c r="F180" s="42" t="n">
        <f aca="false">AJ180+MIN(Z180-AJ180,MAX(0,'Start Here'!$B$10-SUM($AJ180:$AS180)-SUMPRODUCT(($Z$3:$AI$3&lt;Z$3)*($Z180:$AI180-$AJ180:$AS180))))</f>
        <v>0</v>
      </c>
      <c r="G180" s="42" t="n">
        <f aca="false">AK180+MIN(AA180-AK180,MAX(0,'Start Here'!$B$10-SUM($AJ180:$AS180)-SUMPRODUCT(($Z$3:$AI$3&lt;AA$3)*($Z180:$AI180-$AJ180:$AS180))))</f>
        <v>0</v>
      </c>
      <c r="H180" s="42" t="n">
        <f aca="false">AL180+MIN(AB180-AL180,MAX(0,'Start Here'!$B$10-SUM($AJ180:$AS180)-SUMPRODUCT(($Z$3:$AI$3&lt;AB$3)*($Z180:$AI180-$AJ180:$AS180))))</f>
        <v>0</v>
      </c>
      <c r="I180" s="42" t="n">
        <f aca="false">AM180+MIN(AC180-AM180,MAX(0,'Start Here'!$B$10-SUM($AJ180:$AS180)-SUMPRODUCT(($Z$3:$AI$3&lt;AC$3)*($Z180:$AI180-$AJ180:$AS180))))</f>
        <v>0</v>
      </c>
      <c r="J180" s="42" t="n">
        <f aca="false">AN180+MIN(AD180-AN180,MAX(0,'Start Here'!$B$10-SUM($AJ180:$AS180)-SUMPRODUCT(($Z$3:$AI$3&lt;AD$3)*($Z180:$AI180-$AJ180:$AS180))))</f>
        <v>0</v>
      </c>
      <c r="K180" s="42" t="n">
        <f aca="false">AO180+MIN(AE180-AO180,MAX(0,'Start Here'!$B$10-SUM($AJ180:$AS180)-SUMPRODUCT(($Z$3:$AI$3&lt;AE$3)*($Z180:$AI180-$AJ180:$AS180))))</f>
        <v>0</v>
      </c>
      <c r="L180" s="42" t="n">
        <f aca="false">AP180+MIN(AF180-AP180,MAX(0,'Start Here'!$B$10-SUM($AJ180:$AS180)-SUMPRODUCT(($Z$3:$AI$3&lt;AF$3)*($Z180:$AI180-$AJ180:$AS180))))</f>
        <v>0</v>
      </c>
      <c r="M180" s="42" t="n">
        <f aca="false">AQ180+MIN(AG180-AQ180,MAX(0,'Start Here'!$B$10-SUM($AJ180:$AS180)-SUMPRODUCT(($Z$3:$AI$3&lt;AG$3)*($Z180:$AI180-$AJ180:$AS180))))</f>
        <v>0</v>
      </c>
      <c r="N180" s="42" t="n">
        <f aca="false">AR180+MIN(AH180-AR180,MAX(0,'Start Here'!$B$10-SUM($AJ180:$AS180)-SUMPRODUCT(($Z$3:$AI$3&lt;AH$3)*($Z180:$AI180-$AJ180:$AS180))))</f>
        <v>0</v>
      </c>
      <c r="O180" s="42" t="n">
        <f aca="false">AS180+MIN(AI180-AS180,MAX(0,'Start Here'!$B$10-SUM($AJ180:$AS180)-SUMPRODUCT(($Z$3:$AI$3&lt;AI$3)*($Z180:$AI180-$AJ180:$AS180))))</f>
        <v>0</v>
      </c>
      <c r="P180" s="42" t="n">
        <f aca="false">ROUND(Z180-F180,2)</f>
        <v>0</v>
      </c>
      <c r="Q180" s="42" t="n">
        <f aca="false">ROUND(AA180-G180,2)</f>
        <v>0</v>
      </c>
      <c r="R180" s="42" t="n">
        <f aca="false">ROUND(AB180-H180,2)</f>
        <v>0</v>
      </c>
      <c r="S180" s="42" t="n">
        <f aca="false">ROUND(AC180-I180,2)</f>
        <v>0</v>
      </c>
      <c r="T180" s="42" t="n">
        <f aca="false">ROUND(AD180-J180,2)</f>
        <v>0</v>
      </c>
      <c r="U180" s="42" t="n">
        <f aca="false">ROUND(AE180-K180,2)</f>
        <v>0</v>
      </c>
      <c r="V180" s="42" t="n">
        <f aca="false">ROUND(AF180-L180,2)</f>
        <v>0</v>
      </c>
      <c r="W180" s="42" t="n">
        <f aca="false">ROUND(AG180-M180,2)</f>
        <v>0</v>
      </c>
      <c r="X180" s="42" t="n">
        <f aca="false">ROUND(AH180-N180,2)</f>
        <v>0</v>
      </c>
      <c r="Y180" s="42" t="n">
        <f aca="false">ROUND(AI180-O180,2)</f>
        <v>0</v>
      </c>
      <c r="Z180" s="56" t="n">
        <f aca="false">ROUND(P179*(1+N(Debts!$D$5)/12),2)</f>
        <v>0</v>
      </c>
      <c r="AA180" s="56" t="n">
        <f aca="false">ROUND(Q179*(1+N(Debts!$D$6)/12),2)</f>
        <v>0</v>
      </c>
      <c r="AB180" s="56" t="n">
        <f aca="false">ROUND(R179*(1+N(Debts!$D$7)/12),2)</f>
        <v>0</v>
      </c>
      <c r="AC180" s="56" t="n">
        <f aca="false">ROUND(S179*(1+N(Debts!$D$8)/12),2)</f>
        <v>0</v>
      </c>
      <c r="AD180" s="56" t="n">
        <f aca="false">ROUND(T179*(1+N(Debts!$D$9)/12),2)</f>
        <v>0</v>
      </c>
      <c r="AE180" s="56" t="n">
        <f aca="false">ROUND(U179*(1+N(Debts!$D$10)/12),2)</f>
        <v>0</v>
      </c>
      <c r="AF180" s="56" t="n">
        <f aca="false">ROUND(V179*(1+N(Debts!$D$11)/12),2)</f>
        <v>0</v>
      </c>
      <c r="AG180" s="56" t="n">
        <f aca="false">ROUND(W179*(1+N(Debts!$D$12)/12),2)</f>
        <v>0</v>
      </c>
      <c r="AH180" s="56" t="n">
        <f aca="false">ROUND(X179*(1+N(Debts!$D$13)/12),2)</f>
        <v>0</v>
      </c>
      <c r="AI180" s="56" t="n">
        <f aca="false">ROUND(Y179*(1+N(Debts!$D$14)/12),2)</f>
        <v>0</v>
      </c>
      <c r="AJ180" s="56" t="n">
        <f aca="false">MIN(Z180,MAX(0,N(Debts!$E$5)))</f>
        <v>0</v>
      </c>
      <c r="AK180" s="56" t="n">
        <f aca="false">MIN(AA180,MAX(0,N(Debts!$E$6)))</f>
        <v>0</v>
      </c>
      <c r="AL180" s="56" t="n">
        <f aca="false">MIN(AB180,MAX(0,N(Debts!$E$7)))</f>
        <v>0</v>
      </c>
      <c r="AM180" s="56" t="n">
        <f aca="false">MIN(AC180,MAX(0,N(Debts!$E$8)))</f>
        <v>0</v>
      </c>
      <c r="AN180" s="56" t="n">
        <f aca="false">MIN(AD180,MAX(0,N(Debts!$E$9)))</f>
        <v>0</v>
      </c>
      <c r="AO180" s="56" t="n">
        <f aca="false">MIN(AE180,MAX(0,N(Debts!$E$10)))</f>
        <v>0</v>
      </c>
      <c r="AP180" s="56" t="n">
        <f aca="false">MIN(AF180,MAX(0,N(Debts!$E$11)))</f>
        <v>0</v>
      </c>
      <c r="AQ180" s="56" t="n">
        <f aca="false">MIN(AG180,MAX(0,N(Debts!$E$12)))</f>
        <v>0</v>
      </c>
      <c r="AR180" s="56" t="n">
        <f aca="false">MIN(AH180,MAX(0,N(Debts!$E$13)))</f>
        <v>0</v>
      </c>
      <c r="AS180" s="56" t="n">
        <f aca="false">MIN(AI180,MAX(0,N(Debts!$E$14)))</f>
        <v>0</v>
      </c>
    </row>
    <row r="181" customFormat="false" ht="15" hidden="false" customHeight="false" outlineLevel="0" collapsed="false">
      <c r="A181" s="53" t="n">
        <v>177</v>
      </c>
      <c r="B181" s="54" t="n">
        <f aca="false">EDATE('Start Here'!$B$8,176)</f>
        <v>51683</v>
      </c>
      <c r="C181" s="42" t="n">
        <f aca="false">SUM(F181:O181)</f>
        <v>0</v>
      </c>
      <c r="D181" s="42" t="n">
        <f aca="false">ROUND(SUM($Z181:$AI181)-SUM(P180:Y180),2)</f>
        <v>0</v>
      </c>
      <c r="E181" s="55" t="n">
        <f aca="false">SUM(P181:Y181)</f>
        <v>0</v>
      </c>
      <c r="F181" s="42" t="n">
        <f aca="false">AJ181+MIN(Z181-AJ181,MAX(0,'Start Here'!$B$10-SUM($AJ181:$AS181)-SUMPRODUCT(($Z$3:$AI$3&lt;Z$3)*($Z181:$AI181-$AJ181:$AS181))))</f>
        <v>0</v>
      </c>
      <c r="G181" s="42" t="n">
        <f aca="false">AK181+MIN(AA181-AK181,MAX(0,'Start Here'!$B$10-SUM($AJ181:$AS181)-SUMPRODUCT(($Z$3:$AI$3&lt;AA$3)*($Z181:$AI181-$AJ181:$AS181))))</f>
        <v>0</v>
      </c>
      <c r="H181" s="42" t="n">
        <f aca="false">AL181+MIN(AB181-AL181,MAX(0,'Start Here'!$B$10-SUM($AJ181:$AS181)-SUMPRODUCT(($Z$3:$AI$3&lt;AB$3)*($Z181:$AI181-$AJ181:$AS181))))</f>
        <v>0</v>
      </c>
      <c r="I181" s="42" t="n">
        <f aca="false">AM181+MIN(AC181-AM181,MAX(0,'Start Here'!$B$10-SUM($AJ181:$AS181)-SUMPRODUCT(($Z$3:$AI$3&lt;AC$3)*($Z181:$AI181-$AJ181:$AS181))))</f>
        <v>0</v>
      </c>
      <c r="J181" s="42" t="n">
        <f aca="false">AN181+MIN(AD181-AN181,MAX(0,'Start Here'!$B$10-SUM($AJ181:$AS181)-SUMPRODUCT(($Z$3:$AI$3&lt;AD$3)*($Z181:$AI181-$AJ181:$AS181))))</f>
        <v>0</v>
      </c>
      <c r="K181" s="42" t="n">
        <f aca="false">AO181+MIN(AE181-AO181,MAX(0,'Start Here'!$B$10-SUM($AJ181:$AS181)-SUMPRODUCT(($Z$3:$AI$3&lt;AE$3)*($Z181:$AI181-$AJ181:$AS181))))</f>
        <v>0</v>
      </c>
      <c r="L181" s="42" t="n">
        <f aca="false">AP181+MIN(AF181-AP181,MAX(0,'Start Here'!$B$10-SUM($AJ181:$AS181)-SUMPRODUCT(($Z$3:$AI$3&lt;AF$3)*($Z181:$AI181-$AJ181:$AS181))))</f>
        <v>0</v>
      </c>
      <c r="M181" s="42" t="n">
        <f aca="false">AQ181+MIN(AG181-AQ181,MAX(0,'Start Here'!$B$10-SUM($AJ181:$AS181)-SUMPRODUCT(($Z$3:$AI$3&lt;AG$3)*($Z181:$AI181-$AJ181:$AS181))))</f>
        <v>0</v>
      </c>
      <c r="N181" s="42" t="n">
        <f aca="false">AR181+MIN(AH181-AR181,MAX(0,'Start Here'!$B$10-SUM($AJ181:$AS181)-SUMPRODUCT(($Z$3:$AI$3&lt;AH$3)*($Z181:$AI181-$AJ181:$AS181))))</f>
        <v>0</v>
      </c>
      <c r="O181" s="42" t="n">
        <f aca="false">AS181+MIN(AI181-AS181,MAX(0,'Start Here'!$B$10-SUM($AJ181:$AS181)-SUMPRODUCT(($Z$3:$AI$3&lt;AI$3)*($Z181:$AI181-$AJ181:$AS181))))</f>
        <v>0</v>
      </c>
      <c r="P181" s="42" t="n">
        <f aca="false">ROUND(Z181-F181,2)</f>
        <v>0</v>
      </c>
      <c r="Q181" s="42" t="n">
        <f aca="false">ROUND(AA181-G181,2)</f>
        <v>0</v>
      </c>
      <c r="R181" s="42" t="n">
        <f aca="false">ROUND(AB181-H181,2)</f>
        <v>0</v>
      </c>
      <c r="S181" s="42" t="n">
        <f aca="false">ROUND(AC181-I181,2)</f>
        <v>0</v>
      </c>
      <c r="T181" s="42" t="n">
        <f aca="false">ROUND(AD181-J181,2)</f>
        <v>0</v>
      </c>
      <c r="U181" s="42" t="n">
        <f aca="false">ROUND(AE181-K181,2)</f>
        <v>0</v>
      </c>
      <c r="V181" s="42" t="n">
        <f aca="false">ROUND(AF181-L181,2)</f>
        <v>0</v>
      </c>
      <c r="W181" s="42" t="n">
        <f aca="false">ROUND(AG181-M181,2)</f>
        <v>0</v>
      </c>
      <c r="X181" s="42" t="n">
        <f aca="false">ROUND(AH181-N181,2)</f>
        <v>0</v>
      </c>
      <c r="Y181" s="42" t="n">
        <f aca="false">ROUND(AI181-O181,2)</f>
        <v>0</v>
      </c>
      <c r="Z181" s="56" t="n">
        <f aca="false">ROUND(P180*(1+N(Debts!$D$5)/12),2)</f>
        <v>0</v>
      </c>
      <c r="AA181" s="56" t="n">
        <f aca="false">ROUND(Q180*(1+N(Debts!$D$6)/12),2)</f>
        <v>0</v>
      </c>
      <c r="AB181" s="56" t="n">
        <f aca="false">ROUND(R180*(1+N(Debts!$D$7)/12),2)</f>
        <v>0</v>
      </c>
      <c r="AC181" s="56" t="n">
        <f aca="false">ROUND(S180*(1+N(Debts!$D$8)/12),2)</f>
        <v>0</v>
      </c>
      <c r="AD181" s="56" t="n">
        <f aca="false">ROUND(T180*(1+N(Debts!$D$9)/12),2)</f>
        <v>0</v>
      </c>
      <c r="AE181" s="56" t="n">
        <f aca="false">ROUND(U180*(1+N(Debts!$D$10)/12),2)</f>
        <v>0</v>
      </c>
      <c r="AF181" s="56" t="n">
        <f aca="false">ROUND(V180*(1+N(Debts!$D$11)/12),2)</f>
        <v>0</v>
      </c>
      <c r="AG181" s="56" t="n">
        <f aca="false">ROUND(W180*(1+N(Debts!$D$12)/12),2)</f>
        <v>0</v>
      </c>
      <c r="AH181" s="56" t="n">
        <f aca="false">ROUND(X180*(1+N(Debts!$D$13)/12),2)</f>
        <v>0</v>
      </c>
      <c r="AI181" s="56" t="n">
        <f aca="false">ROUND(Y180*(1+N(Debts!$D$14)/12),2)</f>
        <v>0</v>
      </c>
      <c r="AJ181" s="56" t="n">
        <f aca="false">MIN(Z181,MAX(0,N(Debts!$E$5)))</f>
        <v>0</v>
      </c>
      <c r="AK181" s="56" t="n">
        <f aca="false">MIN(AA181,MAX(0,N(Debts!$E$6)))</f>
        <v>0</v>
      </c>
      <c r="AL181" s="56" t="n">
        <f aca="false">MIN(AB181,MAX(0,N(Debts!$E$7)))</f>
        <v>0</v>
      </c>
      <c r="AM181" s="56" t="n">
        <f aca="false">MIN(AC181,MAX(0,N(Debts!$E$8)))</f>
        <v>0</v>
      </c>
      <c r="AN181" s="56" t="n">
        <f aca="false">MIN(AD181,MAX(0,N(Debts!$E$9)))</f>
        <v>0</v>
      </c>
      <c r="AO181" s="56" t="n">
        <f aca="false">MIN(AE181,MAX(0,N(Debts!$E$10)))</f>
        <v>0</v>
      </c>
      <c r="AP181" s="56" t="n">
        <f aca="false">MIN(AF181,MAX(0,N(Debts!$E$11)))</f>
        <v>0</v>
      </c>
      <c r="AQ181" s="56" t="n">
        <f aca="false">MIN(AG181,MAX(0,N(Debts!$E$12)))</f>
        <v>0</v>
      </c>
      <c r="AR181" s="56" t="n">
        <f aca="false">MIN(AH181,MAX(0,N(Debts!$E$13)))</f>
        <v>0</v>
      </c>
      <c r="AS181" s="56" t="n">
        <f aca="false">MIN(AI181,MAX(0,N(Debts!$E$14)))</f>
        <v>0</v>
      </c>
    </row>
    <row r="182" customFormat="false" ht="15" hidden="false" customHeight="false" outlineLevel="0" collapsed="false">
      <c r="A182" s="53" t="n">
        <v>178</v>
      </c>
      <c r="B182" s="54" t="n">
        <f aca="false">EDATE('Start Here'!$B$8,177)</f>
        <v>51714</v>
      </c>
      <c r="C182" s="42" t="n">
        <f aca="false">SUM(F182:O182)</f>
        <v>0</v>
      </c>
      <c r="D182" s="42" t="n">
        <f aca="false">ROUND(SUM($Z182:$AI182)-SUM(P181:Y181),2)</f>
        <v>0</v>
      </c>
      <c r="E182" s="55" t="n">
        <f aca="false">SUM(P182:Y182)</f>
        <v>0</v>
      </c>
      <c r="F182" s="42" t="n">
        <f aca="false">AJ182+MIN(Z182-AJ182,MAX(0,'Start Here'!$B$10-SUM($AJ182:$AS182)-SUMPRODUCT(($Z$3:$AI$3&lt;Z$3)*($Z182:$AI182-$AJ182:$AS182))))</f>
        <v>0</v>
      </c>
      <c r="G182" s="42" t="n">
        <f aca="false">AK182+MIN(AA182-AK182,MAX(0,'Start Here'!$B$10-SUM($AJ182:$AS182)-SUMPRODUCT(($Z$3:$AI$3&lt;AA$3)*($Z182:$AI182-$AJ182:$AS182))))</f>
        <v>0</v>
      </c>
      <c r="H182" s="42" t="n">
        <f aca="false">AL182+MIN(AB182-AL182,MAX(0,'Start Here'!$B$10-SUM($AJ182:$AS182)-SUMPRODUCT(($Z$3:$AI$3&lt;AB$3)*($Z182:$AI182-$AJ182:$AS182))))</f>
        <v>0</v>
      </c>
      <c r="I182" s="42" t="n">
        <f aca="false">AM182+MIN(AC182-AM182,MAX(0,'Start Here'!$B$10-SUM($AJ182:$AS182)-SUMPRODUCT(($Z$3:$AI$3&lt;AC$3)*($Z182:$AI182-$AJ182:$AS182))))</f>
        <v>0</v>
      </c>
      <c r="J182" s="42" t="n">
        <f aca="false">AN182+MIN(AD182-AN182,MAX(0,'Start Here'!$B$10-SUM($AJ182:$AS182)-SUMPRODUCT(($Z$3:$AI$3&lt;AD$3)*($Z182:$AI182-$AJ182:$AS182))))</f>
        <v>0</v>
      </c>
      <c r="K182" s="42" t="n">
        <f aca="false">AO182+MIN(AE182-AO182,MAX(0,'Start Here'!$B$10-SUM($AJ182:$AS182)-SUMPRODUCT(($Z$3:$AI$3&lt;AE$3)*($Z182:$AI182-$AJ182:$AS182))))</f>
        <v>0</v>
      </c>
      <c r="L182" s="42" t="n">
        <f aca="false">AP182+MIN(AF182-AP182,MAX(0,'Start Here'!$B$10-SUM($AJ182:$AS182)-SUMPRODUCT(($Z$3:$AI$3&lt;AF$3)*($Z182:$AI182-$AJ182:$AS182))))</f>
        <v>0</v>
      </c>
      <c r="M182" s="42" t="n">
        <f aca="false">AQ182+MIN(AG182-AQ182,MAX(0,'Start Here'!$B$10-SUM($AJ182:$AS182)-SUMPRODUCT(($Z$3:$AI$3&lt;AG$3)*($Z182:$AI182-$AJ182:$AS182))))</f>
        <v>0</v>
      </c>
      <c r="N182" s="42" t="n">
        <f aca="false">AR182+MIN(AH182-AR182,MAX(0,'Start Here'!$B$10-SUM($AJ182:$AS182)-SUMPRODUCT(($Z$3:$AI$3&lt;AH$3)*($Z182:$AI182-$AJ182:$AS182))))</f>
        <v>0</v>
      </c>
      <c r="O182" s="42" t="n">
        <f aca="false">AS182+MIN(AI182-AS182,MAX(0,'Start Here'!$B$10-SUM($AJ182:$AS182)-SUMPRODUCT(($Z$3:$AI$3&lt;AI$3)*($Z182:$AI182-$AJ182:$AS182))))</f>
        <v>0</v>
      </c>
      <c r="P182" s="42" t="n">
        <f aca="false">ROUND(Z182-F182,2)</f>
        <v>0</v>
      </c>
      <c r="Q182" s="42" t="n">
        <f aca="false">ROUND(AA182-G182,2)</f>
        <v>0</v>
      </c>
      <c r="R182" s="42" t="n">
        <f aca="false">ROUND(AB182-H182,2)</f>
        <v>0</v>
      </c>
      <c r="S182" s="42" t="n">
        <f aca="false">ROUND(AC182-I182,2)</f>
        <v>0</v>
      </c>
      <c r="T182" s="42" t="n">
        <f aca="false">ROUND(AD182-J182,2)</f>
        <v>0</v>
      </c>
      <c r="U182" s="42" t="n">
        <f aca="false">ROUND(AE182-K182,2)</f>
        <v>0</v>
      </c>
      <c r="V182" s="42" t="n">
        <f aca="false">ROUND(AF182-L182,2)</f>
        <v>0</v>
      </c>
      <c r="W182" s="42" t="n">
        <f aca="false">ROUND(AG182-M182,2)</f>
        <v>0</v>
      </c>
      <c r="X182" s="42" t="n">
        <f aca="false">ROUND(AH182-N182,2)</f>
        <v>0</v>
      </c>
      <c r="Y182" s="42" t="n">
        <f aca="false">ROUND(AI182-O182,2)</f>
        <v>0</v>
      </c>
      <c r="Z182" s="56" t="n">
        <f aca="false">ROUND(P181*(1+N(Debts!$D$5)/12),2)</f>
        <v>0</v>
      </c>
      <c r="AA182" s="56" t="n">
        <f aca="false">ROUND(Q181*(1+N(Debts!$D$6)/12),2)</f>
        <v>0</v>
      </c>
      <c r="AB182" s="56" t="n">
        <f aca="false">ROUND(R181*(1+N(Debts!$D$7)/12),2)</f>
        <v>0</v>
      </c>
      <c r="AC182" s="56" t="n">
        <f aca="false">ROUND(S181*(1+N(Debts!$D$8)/12),2)</f>
        <v>0</v>
      </c>
      <c r="AD182" s="56" t="n">
        <f aca="false">ROUND(T181*(1+N(Debts!$D$9)/12),2)</f>
        <v>0</v>
      </c>
      <c r="AE182" s="56" t="n">
        <f aca="false">ROUND(U181*(1+N(Debts!$D$10)/12),2)</f>
        <v>0</v>
      </c>
      <c r="AF182" s="56" t="n">
        <f aca="false">ROUND(V181*(1+N(Debts!$D$11)/12),2)</f>
        <v>0</v>
      </c>
      <c r="AG182" s="56" t="n">
        <f aca="false">ROUND(W181*(1+N(Debts!$D$12)/12),2)</f>
        <v>0</v>
      </c>
      <c r="AH182" s="56" t="n">
        <f aca="false">ROUND(X181*(1+N(Debts!$D$13)/12),2)</f>
        <v>0</v>
      </c>
      <c r="AI182" s="56" t="n">
        <f aca="false">ROUND(Y181*(1+N(Debts!$D$14)/12),2)</f>
        <v>0</v>
      </c>
      <c r="AJ182" s="56" t="n">
        <f aca="false">MIN(Z182,MAX(0,N(Debts!$E$5)))</f>
        <v>0</v>
      </c>
      <c r="AK182" s="56" t="n">
        <f aca="false">MIN(AA182,MAX(0,N(Debts!$E$6)))</f>
        <v>0</v>
      </c>
      <c r="AL182" s="56" t="n">
        <f aca="false">MIN(AB182,MAX(0,N(Debts!$E$7)))</f>
        <v>0</v>
      </c>
      <c r="AM182" s="56" t="n">
        <f aca="false">MIN(AC182,MAX(0,N(Debts!$E$8)))</f>
        <v>0</v>
      </c>
      <c r="AN182" s="56" t="n">
        <f aca="false">MIN(AD182,MAX(0,N(Debts!$E$9)))</f>
        <v>0</v>
      </c>
      <c r="AO182" s="56" t="n">
        <f aca="false">MIN(AE182,MAX(0,N(Debts!$E$10)))</f>
        <v>0</v>
      </c>
      <c r="AP182" s="56" t="n">
        <f aca="false">MIN(AF182,MAX(0,N(Debts!$E$11)))</f>
        <v>0</v>
      </c>
      <c r="AQ182" s="56" t="n">
        <f aca="false">MIN(AG182,MAX(0,N(Debts!$E$12)))</f>
        <v>0</v>
      </c>
      <c r="AR182" s="56" t="n">
        <f aca="false">MIN(AH182,MAX(0,N(Debts!$E$13)))</f>
        <v>0</v>
      </c>
      <c r="AS182" s="56" t="n">
        <f aca="false">MIN(AI182,MAX(0,N(Debts!$E$14)))</f>
        <v>0</v>
      </c>
    </row>
    <row r="183" customFormat="false" ht="15" hidden="false" customHeight="false" outlineLevel="0" collapsed="false">
      <c r="A183" s="53" t="n">
        <v>179</v>
      </c>
      <c r="B183" s="54" t="n">
        <f aca="false">EDATE('Start Here'!$B$8,178)</f>
        <v>51745</v>
      </c>
      <c r="C183" s="42" t="n">
        <f aca="false">SUM(F183:O183)</f>
        <v>0</v>
      </c>
      <c r="D183" s="42" t="n">
        <f aca="false">ROUND(SUM($Z183:$AI183)-SUM(P182:Y182),2)</f>
        <v>0</v>
      </c>
      <c r="E183" s="55" t="n">
        <f aca="false">SUM(P183:Y183)</f>
        <v>0</v>
      </c>
      <c r="F183" s="42" t="n">
        <f aca="false">AJ183+MIN(Z183-AJ183,MAX(0,'Start Here'!$B$10-SUM($AJ183:$AS183)-SUMPRODUCT(($Z$3:$AI$3&lt;Z$3)*($Z183:$AI183-$AJ183:$AS183))))</f>
        <v>0</v>
      </c>
      <c r="G183" s="42" t="n">
        <f aca="false">AK183+MIN(AA183-AK183,MAX(0,'Start Here'!$B$10-SUM($AJ183:$AS183)-SUMPRODUCT(($Z$3:$AI$3&lt;AA$3)*($Z183:$AI183-$AJ183:$AS183))))</f>
        <v>0</v>
      </c>
      <c r="H183" s="42" t="n">
        <f aca="false">AL183+MIN(AB183-AL183,MAX(0,'Start Here'!$B$10-SUM($AJ183:$AS183)-SUMPRODUCT(($Z$3:$AI$3&lt;AB$3)*($Z183:$AI183-$AJ183:$AS183))))</f>
        <v>0</v>
      </c>
      <c r="I183" s="42" t="n">
        <f aca="false">AM183+MIN(AC183-AM183,MAX(0,'Start Here'!$B$10-SUM($AJ183:$AS183)-SUMPRODUCT(($Z$3:$AI$3&lt;AC$3)*($Z183:$AI183-$AJ183:$AS183))))</f>
        <v>0</v>
      </c>
      <c r="J183" s="42" t="n">
        <f aca="false">AN183+MIN(AD183-AN183,MAX(0,'Start Here'!$B$10-SUM($AJ183:$AS183)-SUMPRODUCT(($Z$3:$AI$3&lt;AD$3)*($Z183:$AI183-$AJ183:$AS183))))</f>
        <v>0</v>
      </c>
      <c r="K183" s="42" t="n">
        <f aca="false">AO183+MIN(AE183-AO183,MAX(0,'Start Here'!$B$10-SUM($AJ183:$AS183)-SUMPRODUCT(($Z$3:$AI$3&lt;AE$3)*($Z183:$AI183-$AJ183:$AS183))))</f>
        <v>0</v>
      </c>
      <c r="L183" s="42" t="n">
        <f aca="false">AP183+MIN(AF183-AP183,MAX(0,'Start Here'!$B$10-SUM($AJ183:$AS183)-SUMPRODUCT(($Z$3:$AI$3&lt;AF$3)*($Z183:$AI183-$AJ183:$AS183))))</f>
        <v>0</v>
      </c>
      <c r="M183" s="42" t="n">
        <f aca="false">AQ183+MIN(AG183-AQ183,MAX(0,'Start Here'!$B$10-SUM($AJ183:$AS183)-SUMPRODUCT(($Z$3:$AI$3&lt;AG$3)*($Z183:$AI183-$AJ183:$AS183))))</f>
        <v>0</v>
      </c>
      <c r="N183" s="42" t="n">
        <f aca="false">AR183+MIN(AH183-AR183,MAX(0,'Start Here'!$B$10-SUM($AJ183:$AS183)-SUMPRODUCT(($Z$3:$AI$3&lt;AH$3)*($Z183:$AI183-$AJ183:$AS183))))</f>
        <v>0</v>
      </c>
      <c r="O183" s="42" t="n">
        <f aca="false">AS183+MIN(AI183-AS183,MAX(0,'Start Here'!$B$10-SUM($AJ183:$AS183)-SUMPRODUCT(($Z$3:$AI$3&lt;AI$3)*($Z183:$AI183-$AJ183:$AS183))))</f>
        <v>0</v>
      </c>
      <c r="P183" s="42" t="n">
        <f aca="false">ROUND(Z183-F183,2)</f>
        <v>0</v>
      </c>
      <c r="Q183" s="42" t="n">
        <f aca="false">ROUND(AA183-G183,2)</f>
        <v>0</v>
      </c>
      <c r="R183" s="42" t="n">
        <f aca="false">ROUND(AB183-H183,2)</f>
        <v>0</v>
      </c>
      <c r="S183" s="42" t="n">
        <f aca="false">ROUND(AC183-I183,2)</f>
        <v>0</v>
      </c>
      <c r="T183" s="42" t="n">
        <f aca="false">ROUND(AD183-J183,2)</f>
        <v>0</v>
      </c>
      <c r="U183" s="42" t="n">
        <f aca="false">ROUND(AE183-K183,2)</f>
        <v>0</v>
      </c>
      <c r="V183" s="42" t="n">
        <f aca="false">ROUND(AF183-L183,2)</f>
        <v>0</v>
      </c>
      <c r="W183" s="42" t="n">
        <f aca="false">ROUND(AG183-M183,2)</f>
        <v>0</v>
      </c>
      <c r="X183" s="42" t="n">
        <f aca="false">ROUND(AH183-N183,2)</f>
        <v>0</v>
      </c>
      <c r="Y183" s="42" t="n">
        <f aca="false">ROUND(AI183-O183,2)</f>
        <v>0</v>
      </c>
      <c r="Z183" s="56" t="n">
        <f aca="false">ROUND(P182*(1+N(Debts!$D$5)/12),2)</f>
        <v>0</v>
      </c>
      <c r="AA183" s="56" t="n">
        <f aca="false">ROUND(Q182*(1+N(Debts!$D$6)/12),2)</f>
        <v>0</v>
      </c>
      <c r="AB183" s="56" t="n">
        <f aca="false">ROUND(R182*(1+N(Debts!$D$7)/12),2)</f>
        <v>0</v>
      </c>
      <c r="AC183" s="56" t="n">
        <f aca="false">ROUND(S182*(1+N(Debts!$D$8)/12),2)</f>
        <v>0</v>
      </c>
      <c r="AD183" s="56" t="n">
        <f aca="false">ROUND(T182*(1+N(Debts!$D$9)/12),2)</f>
        <v>0</v>
      </c>
      <c r="AE183" s="56" t="n">
        <f aca="false">ROUND(U182*(1+N(Debts!$D$10)/12),2)</f>
        <v>0</v>
      </c>
      <c r="AF183" s="56" t="n">
        <f aca="false">ROUND(V182*(1+N(Debts!$D$11)/12),2)</f>
        <v>0</v>
      </c>
      <c r="AG183" s="56" t="n">
        <f aca="false">ROUND(W182*(1+N(Debts!$D$12)/12),2)</f>
        <v>0</v>
      </c>
      <c r="AH183" s="56" t="n">
        <f aca="false">ROUND(X182*(1+N(Debts!$D$13)/12),2)</f>
        <v>0</v>
      </c>
      <c r="AI183" s="56" t="n">
        <f aca="false">ROUND(Y182*(1+N(Debts!$D$14)/12),2)</f>
        <v>0</v>
      </c>
      <c r="AJ183" s="56" t="n">
        <f aca="false">MIN(Z183,MAX(0,N(Debts!$E$5)))</f>
        <v>0</v>
      </c>
      <c r="AK183" s="56" t="n">
        <f aca="false">MIN(AA183,MAX(0,N(Debts!$E$6)))</f>
        <v>0</v>
      </c>
      <c r="AL183" s="56" t="n">
        <f aca="false">MIN(AB183,MAX(0,N(Debts!$E$7)))</f>
        <v>0</v>
      </c>
      <c r="AM183" s="56" t="n">
        <f aca="false">MIN(AC183,MAX(0,N(Debts!$E$8)))</f>
        <v>0</v>
      </c>
      <c r="AN183" s="56" t="n">
        <f aca="false">MIN(AD183,MAX(0,N(Debts!$E$9)))</f>
        <v>0</v>
      </c>
      <c r="AO183" s="56" t="n">
        <f aca="false">MIN(AE183,MAX(0,N(Debts!$E$10)))</f>
        <v>0</v>
      </c>
      <c r="AP183" s="56" t="n">
        <f aca="false">MIN(AF183,MAX(0,N(Debts!$E$11)))</f>
        <v>0</v>
      </c>
      <c r="AQ183" s="56" t="n">
        <f aca="false">MIN(AG183,MAX(0,N(Debts!$E$12)))</f>
        <v>0</v>
      </c>
      <c r="AR183" s="56" t="n">
        <f aca="false">MIN(AH183,MAX(0,N(Debts!$E$13)))</f>
        <v>0</v>
      </c>
      <c r="AS183" s="56" t="n">
        <f aca="false">MIN(AI183,MAX(0,N(Debts!$E$14)))</f>
        <v>0</v>
      </c>
    </row>
    <row r="184" customFormat="false" ht="15" hidden="false" customHeight="false" outlineLevel="0" collapsed="false">
      <c r="A184" s="53" t="n">
        <v>180</v>
      </c>
      <c r="B184" s="54" t="n">
        <f aca="false">EDATE('Start Here'!$B$8,179)</f>
        <v>51775</v>
      </c>
      <c r="C184" s="42" t="n">
        <f aca="false">SUM(F184:O184)</f>
        <v>0</v>
      </c>
      <c r="D184" s="42" t="n">
        <f aca="false">ROUND(SUM($Z184:$AI184)-SUM(P183:Y183),2)</f>
        <v>0</v>
      </c>
      <c r="E184" s="55" t="n">
        <f aca="false">SUM(P184:Y184)</f>
        <v>0</v>
      </c>
      <c r="F184" s="42" t="n">
        <f aca="false">AJ184+MIN(Z184-AJ184,MAX(0,'Start Here'!$B$10-SUM($AJ184:$AS184)-SUMPRODUCT(($Z$3:$AI$3&lt;Z$3)*($Z184:$AI184-$AJ184:$AS184))))</f>
        <v>0</v>
      </c>
      <c r="G184" s="42" t="n">
        <f aca="false">AK184+MIN(AA184-AK184,MAX(0,'Start Here'!$B$10-SUM($AJ184:$AS184)-SUMPRODUCT(($Z$3:$AI$3&lt;AA$3)*($Z184:$AI184-$AJ184:$AS184))))</f>
        <v>0</v>
      </c>
      <c r="H184" s="42" t="n">
        <f aca="false">AL184+MIN(AB184-AL184,MAX(0,'Start Here'!$B$10-SUM($AJ184:$AS184)-SUMPRODUCT(($Z$3:$AI$3&lt;AB$3)*($Z184:$AI184-$AJ184:$AS184))))</f>
        <v>0</v>
      </c>
      <c r="I184" s="42" t="n">
        <f aca="false">AM184+MIN(AC184-AM184,MAX(0,'Start Here'!$B$10-SUM($AJ184:$AS184)-SUMPRODUCT(($Z$3:$AI$3&lt;AC$3)*($Z184:$AI184-$AJ184:$AS184))))</f>
        <v>0</v>
      </c>
      <c r="J184" s="42" t="n">
        <f aca="false">AN184+MIN(AD184-AN184,MAX(0,'Start Here'!$B$10-SUM($AJ184:$AS184)-SUMPRODUCT(($Z$3:$AI$3&lt;AD$3)*($Z184:$AI184-$AJ184:$AS184))))</f>
        <v>0</v>
      </c>
      <c r="K184" s="42" t="n">
        <f aca="false">AO184+MIN(AE184-AO184,MAX(0,'Start Here'!$B$10-SUM($AJ184:$AS184)-SUMPRODUCT(($Z$3:$AI$3&lt;AE$3)*($Z184:$AI184-$AJ184:$AS184))))</f>
        <v>0</v>
      </c>
      <c r="L184" s="42" t="n">
        <f aca="false">AP184+MIN(AF184-AP184,MAX(0,'Start Here'!$B$10-SUM($AJ184:$AS184)-SUMPRODUCT(($Z$3:$AI$3&lt;AF$3)*($Z184:$AI184-$AJ184:$AS184))))</f>
        <v>0</v>
      </c>
      <c r="M184" s="42" t="n">
        <f aca="false">AQ184+MIN(AG184-AQ184,MAX(0,'Start Here'!$B$10-SUM($AJ184:$AS184)-SUMPRODUCT(($Z$3:$AI$3&lt;AG$3)*($Z184:$AI184-$AJ184:$AS184))))</f>
        <v>0</v>
      </c>
      <c r="N184" s="42" t="n">
        <f aca="false">AR184+MIN(AH184-AR184,MAX(0,'Start Here'!$B$10-SUM($AJ184:$AS184)-SUMPRODUCT(($Z$3:$AI$3&lt;AH$3)*($Z184:$AI184-$AJ184:$AS184))))</f>
        <v>0</v>
      </c>
      <c r="O184" s="42" t="n">
        <f aca="false">AS184+MIN(AI184-AS184,MAX(0,'Start Here'!$B$10-SUM($AJ184:$AS184)-SUMPRODUCT(($Z$3:$AI$3&lt;AI$3)*($Z184:$AI184-$AJ184:$AS184))))</f>
        <v>0</v>
      </c>
      <c r="P184" s="42" t="n">
        <f aca="false">ROUND(Z184-F184,2)</f>
        <v>0</v>
      </c>
      <c r="Q184" s="42" t="n">
        <f aca="false">ROUND(AA184-G184,2)</f>
        <v>0</v>
      </c>
      <c r="R184" s="42" t="n">
        <f aca="false">ROUND(AB184-H184,2)</f>
        <v>0</v>
      </c>
      <c r="S184" s="42" t="n">
        <f aca="false">ROUND(AC184-I184,2)</f>
        <v>0</v>
      </c>
      <c r="T184" s="42" t="n">
        <f aca="false">ROUND(AD184-J184,2)</f>
        <v>0</v>
      </c>
      <c r="U184" s="42" t="n">
        <f aca="false">ROUND(AE184-K184,2)</f>
        <v>0</v>
      </c>
      <c r="V184" s="42" t="n">
        <f aca="false">ROUND(AF184-L184,2)</f>
        <v>0</v>
      </c>
      <c r="W184" s="42" t="n">
        <f aca="false">ROUND(AG184-M184,2)</f>
        <v>0</v>
      </c>
      <c r="X184" s="42" t="n">
        <f aca="false">ROUND(AH184-N184,2)</f>
        <v>0</v>
      </c>
      <c r="Y184" s="42" t="n">
        <f aca="false">ROUND(AI184-O184,2)</f>
        <v>0</v>
      </c>
      <c r="Z184" s="56" t="n">
        <f aca="false">ROUND(P183*(1+N(Debts!$D$5)/12),2)</f>
        <v>0</v>
      </c>
      <c r="AA184" s="56" t="n">
        <f aca="false">ROUND(Q183*(1+N(Debts!$D$6)/12),2)</f>
        <v>0</v>
      </c>
      <c r="AB184" s="56" t="n">
        <f aca="false">ROUND(R183*(1+N(Debts!$D$7)/12),2)</f>
        <v>0</v>
      </c>
      <c r="AC184" s="56" t="n">
        <f aca="false">ROUND(S183*(1+N(Debts!$D$8)/12),2)</f>
        <v>0</v>
      </c>
      <c r="AD184" s="56" t="n">
        <f aca="false">ROUND(T183*(1+N(Debts!$D$9)/12),2)</f>
        <v>0</v>
      </c>
      <c r="AE184" s="56" t="n">
        <f aca="false">ROUND(U183*(1+N(Debts!$D$10)/12),2)</f>
        <v>0</v>
      </c>
      <c r="AF184" s="56" t="n">
        <f aca="false">ROUND(V183*(1+N(Debts!$D$11)/12),2)</f>
        <v>0</v>
      </c>
      <c r="AG184" s="56" t="n">
        <f aca="false">ROUND(W183*(1+N(Debts!$D$12)/12),2)</f>
        <v>0</v>
      </c>
      <c r="AH184" s="56" t="n">
        <f aca="false">ROUND(X183*(1+N(Debts!$D$13)/12),2)</f>
        <v>0</v>
      </c>
      <c r="AI184" s="56" t="n">
        <f aca="false">ROUND(Y183*(1+N(Debts!$D$14)/12),2)</f>
        <v>0</v>
      </c>
      <c r="AJ184" s="56" t="n">
        <f aca="false">MIN(Z184,MAX(0,N(Debts!$E$5)))</f>
        <v>0</v>
      </c>
      <c r="AK184" s="56" t="n">
        <f aca="false">MIN(AA184,MAX(0,N(Debts!$E$6)))</f>
        <v>0</v>
      </c>
      <c r="AL184" s="56" t="n">
        <f aca="false">MIN(AB184,MAX(0,N(Debts!$E$7)))</f>
        <v>0</v>
      </c>
      <c r="AM184" s="56" t="n">
        <f aca="false">MIN(AC184,MAX(0,N(Debts!$E$8)))</f>
        <v>0</v>
      </c>
      <c r="AN184" s="56" t="n">
        <f aca="false">MIN(AD184,MAX(0,N(Debts!$E$9)))</f>
        <v>0</v>
      </c>
      <c r="AO184" s="56" t="n">
        <f aca="false">MIN(AE184,MAX(0,N(Debts!$E$10)))</f>
        <v>0</v>
      </c>
      <c r="AP184" s="56" t="n">
        <f aca="false">MIN(AF184,MAX(0,N(Debts!$E$11)))</f>
        <v>0</v>
      </c>
      <c r="AQ184" s="56" t="n">
        <f aca="false">MIN(AG184,MAX(0,N(Debts!$E$12)))</f>
        <v>0</v>
      </c>
      <c r="AR184" s="56" t="n">
        <f aca="false">MIN(AH184,MAX(0,N(Debts!$E$13)))</f>
        <v>0</v>
      </c>
      <c r="AS184" s="56" t="n">
        <f aca="false">MIN(AI184,MAX(0,N(Debts!$E$14)))</f>
        <v>0</v>
      </c>
    </row>
    <row r="185" customFormat="false" ht="15" hidden="false" customHeight="false" outlineLevel="0" collapsed="false">
      <c r="A185" s="53" t="n">
        <v>181</v>
      </c>
      <c r="B185" s="54" t="n">
        <f aca="false">EDATE('Start Here'!$B$8,180)</f>
        <v>51806</v>
      </c>
      <c r="C185" s="42" t="n">
        <f aca="false">SUM(F185:O185)</f>
        <v>0</v>
      </c>
      <c r="D185" s="42" t="n">
        <f aca="false">ROUND(SUM($Z185:$AI185)-SUM(P184:Y184),2)</f>
        <v>0</v>
      </c>
      <c r="E185" s="55" t="n">
        <f aca="false">SUM(P185:Y185)</f>
        <v>0</v>
      </c>
      <c r="F185" s="42" t="n">
        <f aca="false">AJ185+MIN(Z185-AJ185,MAX(0,'Start Here'!$B$10-SUM($AJ185:$AS185)-SUMPRODUCT(($Z$3:$AI$3&lt;Z$3)*($Z185:$AI185-$AJ185:$AS185))))</f>
        <v>0</v>
      </c>
      <c r="G185" s="42" t="n">
        <f aca="false">AK185+MIN(AA185-AK185,MAX(0,'Start Here'!$B$10-SUM($AJ185:$AS185)-SUMPRODUCT(($Z$3:$AI$3&lt;AA$3)*($Z185:$AI185-$AJ185:$AS185))))</f>
        <v>0</v>
      </c>
      <c r="H185" s="42" t="n">
        <f aca="false">AL185+MIN(AB185-AL185,MAX(0,'Start Here'!$B$10-SUM($AJ185:$AS185)-SUMPRODUCT(($Z$3:$AI$3&lt;AB$3)*($Z185:$AI185-$AJ185:$AS185))))</f>
        <v>0</v>
      </c>
      <c r="I185" s="42" t="n">
        <f aca="false">AM185+MIN(AC185-AM185,MAX(0,'Start Here'!$B$10-SUM($AJ185:$AS185)-SUMPRODUCT(($Z$3:$AI$3&lt;AC$3)*($Z185:$AI185-$AJ185:$AS185))))</f>
        <v>0</v>
      </c>
      <c r="J185" s="42" t="n">
        <f aca="false">AN185+MIN(AD185-AN185,MAX(0,'Start Here'!$B$10-SUM($AJ185:$AS185)-SUMPRODUCT(($Z$3:$AI$3&lt;AD$3)*($Z185:$AI185-$AJ185:$AS185))))</f>
        <v>0</v>
      </c>
      <c r="K185" s="42" t="n">
        <f aca="false">AO185+MIN(AE185-AO185,MAX(0,'Start Here'!$B$10-SUM($AJ185:$AS185)-SUMPRODUCT(($Z$3:$AI$3&lt;AE$3)*($Z185:$AI185-$AJ185:$AS185))))</f>
        <v>0</v>
      </c>
      <c r="L185" s="42" t="n">
        <f aca="false">AP185+MIN(AF185-AP185,MAX(0,'Start Here'!$B$10-SUM($AJ185:$AS185)-SUMPRODUCT(($Z$3:$AI$3&lt;AF$3)*($Z185:$AI185-$AJ185:$AS185))))</f>
        <v>0</v>
      </c>
      <c r="M185" s="42" t="n">
        <f aca="false">AQ185+MIN(AG185-AQ185,MAX(0,'Start Here'!$B$10-SUM($AJ185:$AS185)-SUMPRODUCT(($Z$3:$AI$3&lt;AG$3)*($Z185:$AI185-$AJ185:$AS185))))</f>
        <v>0</v>
      </c>
      <c r="N185" s="42" t="n">
        <f aca="false">AR185+MIN(AH185-AR185,MAX(0,'Start Here'!$B$10-SUM($AJ185:$AS185)-SUMPRODUCT(($Z$3:$AI$3&lt;AH$3)*($Z185:$AI185-$AJ185:$AS185))))</f>
        <v>0</v>
      </c>
      <c r="O185" s="42" t="n">
        <f aca="false">AS185+MIN(AI185-AS185,MAX(0,'Start Here'!$B$10-SUM($AJ185:$AS185)-SUMPRODUCT(($Z$3:$AI$3&lt;AI$3)*($Z185:$AI185-$AJ185:$AS185))))</f>
        <v>0</v>
      </c>
      <c r="P185" s="42" t="n">
        <f aca="false">ROUND(Z185-F185,2)</f>
        <v>0</v>
      </c>
      <c r="Q185" s="42" t="n">
        <f aca="false">ROUND(AA185-G185,2)</f>
        <v>0</v>
      </c>
      <c r="R185" s="42" t="n">
        <f aca="false">ROUND(AB185-H185,2)</f>
        <v>0</v>
      </c>
      <c r="S185" s="42" t="n">
        <f aca="false">ROUND(AC185-I185,2)</f>
        <v>0</v>
      </c>
      <c r="T185" s="42" t="n">
        <f aca="false">ROUND(AD185-J185,2)</f>
        <v>0</v>
      </c>
      <c r="U185" s="42" t="n">
        <f aca="false">ROUND(AE185-K185,2)</f>
        <v>0</v>
      </c>
      <c r="V185" s="42" t="n">
        <f aca="false">ROUND(AF185-L185,2)</f>
        <v>0</v>
      </c>
      <c r="W185" s="42" t="n">
        <f aca="false">ROUND(AG185-M185,2)</f>
        <v>0</v>
      </c>
      <c r="X185" s="42" t="n">
        <f aca="false">ROUND(AH185-N185,2)</f>
        <v>0</v>
      </c>
      <c r="Y185" s="42" t="n">
        <f aca="false">ROUND(AI185-O185,2)</f>
        <v>0</v>
      </c>
      <c r="Z185" s="56" t="n">
        <f aca="false">ROUND(P184*(1+N(Debts!$D$5)/12),2)</f>
        <v>0</v>
      </c>
      <c r="AA185" s="56" t="n">
        <f aca="false">ROUND(Q184*(1+N(Debts!$D$6)/12),2)</f>
        <v>0</v>
      </c>
      <c r="AB185" s="56" t="n">
        <f aca="false">ROUND(R184*(1+N(Debts!$D$7)/12),2)</f>
        <v>0</v>
      </c>
      <c r="AC185" s="56" t="n">
        <f aca="false">ROUND(S184*(1+N(Debts!$D$8)/12),2)</f>
        <v>0</v>
      </c>
      <c r="AD185" s="56" t="n">
        <f aca="false">ROUND(T184*(1+N(Debts!$D$9)/12),2)</f>
        <v>0</v>
      </c>
      <c r="AE185" s="56" t="n">
        <f aca="false">ROUND(U184*(1+N(Debts!$D$10)/12),2)</f>
        <v>0</v>
      </c>
      <c r="AF185" s="56" t="n">
        <f aca="false">ROUND(V184*(1+N(Debts!$D$11)/12),2)</f>
        <v>0</v>
      </c>
      <c r="AG185" s="56" t="n">
        <f aca="false">ROUND(W184*(1+N(Debts!$D$12)/12),2)</f>
        <v>0</v>
      </c>
      <c r="AH185" s="56" t="n">
        <f aca="false">ROUND(X184*(1+N(Debts!$D$13)/12),2)</f>
        <v>0</v>
      </c>
      <c r="AI185" s="56" t="n">
        <f aca="false">ROUND(Y184*(1+N(Debts!$D$14)/12),2)</f>
        <v>0</v>
      </c>
      <c r="AJ185" s="56" t="n">
        <f aca="false">MIN(Z185,MAX(0,N(Debts!$E$5)))</f>
        <v>0</v>
      </c>
      <c r="AK185" s="56" t="n">
        <f aca="false">MIN(AA185,MAX(0,N(Debts!$E$6)))</f>
        <v>0</v>
      </c>
      <c r="AL185" s="56" t="n">
        <f aca="false">MIN(AB185,MAX(0,N(Debts!$E$7)))</f>
        <v>0</v>
      </c>
      <c r="AM185" s="56" t="n">
        <f aca="false">MIN(AC185,MAX(0,N(Debts!$E$8)))</f>
        <v>0</v>
      </c>
      <c r="AN185" s="56" t="n">
        <f aca="false">MIN(AD185,MAX(0,N(Debts!$E$9)))</f>
        <v>0</v>
      </c>
      <c r="AO185" s="56" t="n">
        <f aca="false">MIN(AE185,MAX(0,N(Debts!$E$10)))</f>
        <v>0</v>
      </c>
      <c r="AP185" s="56" t="n">
        <f aca="false">MIN(AF185,MAX(0,N(Debts!$E$11)))</f>
        <v>0</v>
      </c>
      <c r="AQ185" s="56" t="n">
        <f aca="false">MIN(AG185,MAX(0,N(Debts!$E$12)))</f>
        <v>0</v>
      </c>
      <c r="AR185" s="56" t="n">
        <f aca="false">MIN(AH185,MAX(0,N(Debts!$E$13)))</f>
        <v>0</v>
      </c>
      <c r="AS185" s="56" t="n">
        <f aca="false">MIN(AI185,MAX(0,N(Debts!$E$14)))</f>
        <v>0</v>
      </c>
    </row>
    <row r="186" customFormat="false" ht="15" hidden="false" customHeight="false" outlineLevel="0" collapsed="false">
      <c r="A186" s="53" t="n">
        <v>182</v>
      </c>
      <c r="B186" s="54" t="n">
        <f aca="false">EDATE('Start Here'!$B$8,181)</f>
        <v>51836</v>
      </c>
      <c r="C186" s="42" t="n">
        <f aca="false">SUM(F186:O186)</f>
        <v>0</v>
      </c>
      <c r="D186" s="42" t="n">
        <f aca="false">ROUND(SUM($Z186:$AI186)-SUM(P185:Y185),2)</f>
        <v>0</v>
      </c>
      <c r="E186" s="55" t="n">
        <f aca="false">SUM(P186:Y186)</f>
        <v>0</v>
      </c>
      <c r="F186" s="42" t="n">
        <f aca="false">AJ186+MIN(Z186-AJ186,MAX(0,'Start Here'!$B$10-SUM($AJ186:$AS186)-SUMPRODUCT(($Z$3:$AI$3&lt;Z$3)*($Z186:$AI186-$AJ186:$AS186))))</f>
        <v>0</v>
      </c>
      <c r="G186" s="42" t="n">
        <f aca="false">AK186+MIN(AA186-AK186,MAX(0,'Start Here'!$B$10-SUM($AJ186:$AS186)-SUMPRODUCT(($Z$3:$AI$3&lt;AA$3)*($Z186:$AI186-$AJ186:$AS186))))</f>
        <v>0</v>
      </c>
      <c r="H186" s="42" t="n">
        <f aca="false">AL186+MIN(AB186-AL186,MAX(0,'Start Here'!$B$10-SUM($AJ186:$AS186)-SUMPRODUCT(($Z$3:$AI$3&lt;AB$3)*($Z186:$AI186-$AJ186:$AS186))))</f>
        <v>0</v>
      </c>
      <c r="I186" s="42" t="n">
        <f aca="false">AM186+MIN(AC186-AM186,MAX(0,'Start Here'!$B$10-SUM($AJ186:$AS186)-SUMPRODUCT(($Z$3:$AI$3&lt;AC$3)*($Z186:$AI186-$AJ186:$AS186))))</f>
        <v>0</v>
      </c>
      <c r="J186" s="42" t="n">
        <f aca="false">AN186+MIN(AD186-AN186,MAX(0,'Start Here'!$B$10-SUM($AJ186:$AS186)-SUMPRODUCT(($Z$3:$AI$3&lt;AD$3)*($Z186:$AI186-$AJ186:$AS186))))</f>
        <v>0</v>
      </c>
      <c r="K186" s="42" t="n">
        <f aca="false">AO186+MIN(AE186-AO186,MAX(0,'Start Here'!$B$10-SUM($AJ186:$AS186)-SUMPRODUCT(($Z$3:$AI$3&lt;AE$3)*($Z186:$AI186-$AJ186:$AS186))))</f>
        <v>0</v>
      </c>
      <c r="L186" s="42" t="n">
        <f aca="false">AP186+MIN(AF186-AP186,MAX(0,'Start Here'!$B$10-SUM($AJ186:$AS186)-SUMPRODUCT(($Z$3:$AI$3&lt;AF$3)*($Z186:$AI186-$AJ186:$AS186))))</f>
        <v>0</v>
      </c>
      <c r="M186" s="42" t="n">
        <f aca="false">AQ186+MIN(AG186-AQ186,MAX(0,'Start Here'!$B$10-SUM($AJ186:$AS186)-SUMPRODUCT(($Z$3:$AI$3&lt;AG$3)*($Z186:$AI186-$AJ186:$AS186))))</f>
        <v>0</v>
      </c>
      <c r="N186" s="42" t="n">
        <f aca="false">AR186+MIN(AH186-AR186,MAX(0,'Start Here'!$B$10-SUM($AJ186:$AS186)-SUMPRODUCT(($Z$3:$AI$3&lt;AH$3)*($Z186:$AI186-$AJ186:$AS186))))</f>
        <v>0</v>
      </c>
      <c r="O186" s="42" t="n">
        <f aca="false">AS186+MIN(AI186-AS186,MAX(0,'Start Here'!$B$10-SUM($AJ186:$AS186)-SUMPRODUCT(($Z$3:$AI$3&lt;AI$3)*($Z186:$AI186-$AJ186:$AS186))))</f>
        <v>0</v>
      </c>
      <c r="P186" s="42" t="n">
        <f aca="false">ROUND(Z186-F186,2)</f>
        <v>0</v>
      </c>
      <c r="Q186" s="42" t="n">
        <f aca="false">ROUND(AA186-G186,2)</f>
        <v>0</v>
      </c>
      <c r="R186" s="42" t="n">
        <f aca="false">ROUND(AB186-H186,2)</f>
        <v>0</v>
      </c>
      <c r="S186" s="42" t="n">
        <f aca="false">ROUND(AC186-I186,2)</f>
        <v>0</v>
      </c>
      <c r="T186" s="42" t="n">
        <f aca="false">ROUND(AD186-J186,2)</f>
        <v>0</v>
      </c>
      <c r="U186" s="42" t="n">
        <f aca="false">ROUND(AE186-K186,2)</f>
        <v>0</v>
      </c>
      <c r="V186" s="42" t="n">
        <f aca="false">ROUND(AF186-L186,2)</f>
        <v>0</v>
      </c>
      <c r="W186" s="42" t="n">
        <f aca="false">ROUND(AG186-M186,2)</f>
        <v>0</v>
      </c>
      <c r="X186" s="42" t="n">
        <f aca="false">ROUND(AH186-N186,2)</f>
        <v>0</v>
      </c>
      <c r="Y186" s="42" t="n">
        <f aca="false">ROUND(AI186-O186,2)</f>
        <v>0</v>
      </c>
      <c r="Z186" s="56" t="n">
        <f aca="false">ROUND(P185*(1+N(Debts!$D$5)/12),2)</f>
        <v>0</v>
      </c>
      <c r="AA186" s="56" t="n">
        <f aca="false">ROUND(Q185*(1+N(Debts!$D$6)/12),2)</f>
        <v>0</v>
      </c>
      <c r="AB186" s="56" t="n">
        <f aca="false">ROUND(R185*(1+N(Debts!$D$7)/12),2)</f>
        <v>0</v>
      </c>
      <c r="AC186" s="56" t="n">
        <f aca="false">ROUND(S185*(1+N(Debts!$D$8)/12),2)</f>
        <v>0</v>
      </c>
      <c r="AD186" s="56" t="n">
        <f aca="false">ROUND(T185*(1+N(Debts!$D$9)/12),2)</f>
        <v>0</v>
      </c>
      <c r="AE186" s="56" t="n">
        <f aca="false">ROUND(U185*(1+N(Debts!$D$10)/12),2)</f>
        <v>0</v>
      </c>
      <c r="AF186" s="56" t="n">
        <f aca="false">ROUND(V185*(1+N(Debts!$D$11)/12),2)</f>
        <v>0</v>
      </c>
      <c r="AG186" s="56" t="n">
        <f aca="false">ROUND(W185*(1+N(Debts!$D$12)/12),2)</f>
        <v>0</v>
      </c>
      <c r="AH186" s="56" t="n">
        <f aca="false">ROUND(X185*(1+N(Debts!$D$13)/12),2)</f>
        <v>0</v>
      </c>
      <c r="AI186" s="56" t="n">
        <f aca="false">ROUND(Y185*(1+N(Debts!$D$14)/12),2)</f>
        <v>0</v>
      </c>
      <c r="AJ186" s="56" t="n">
        <f aca="false">MIN(Z186,MAX(0,N(Debts!$E$5)))</f>
        <v>0</v>
      </c>
      <c r="AK186" s="56" t="n">
        <f aca="false">MIN(AA186,MAX(0,N(Debts!$E$6)))</f>
        <v>0</v>
      </c>
      <c r="AL186" s="56" t="n">
        <f aca="false">MIN(AB186,MAX(0,N(Debts!$E$7)))</f>
        <v>0</v>
      </c>
      <c r="AM186" s="56" t="n">
        <f aca="false">MIN(AC186,MAX(0,N(Debts!$E$8)))</f>
        <v>0</v>
      </c>
      <c r="AN186" s="56" t="n">
        <f aca="false">MIN(AD186,MAX(0,N(Debts!$E$9)))</f>
        <v>0</v>
      </c>
      <c r="AO186" s="56" t="n">
        <f aca="false">MIN(AE186,MAX(0,N(Debts!$E$10)))</f>
        <v>0</v>
      </c>
      <c r="AP186" s="56" t="n">
        <f aca="false">MIN(AF186,MAX(0,N(Debts!$E$11)))</f>
        <v>0</v>
      </c>
      <c r="AQ186" s="56" t="n">
        <f aca="false">MIN(AG186,MAX(0,N(Debts!$E$12)))</f>
        <v>0</v>
      </c>
      <c r="AR186" s="56" t="n">
        <f aca="false">MIN(AH186,MAX(0,N(Debts!$E$13)))</f>
        <v>0</v>
      </c>
      <c r="AS186" s="56" t="n">
        <f aca="false">MIN(AI186,MAX(0,N(Debts!$E$14)))</f>
        <v>0</v>
      </c>
    </row>
    <row r="187" customFormat="false" ht="15" hidden="false" customHeight="false" outlineLevel="0" collapsed="false">
      <c r="A187" s="53" t="n">
        <v>183</v>
      </c>
      <c r="B187" s="54" t="n">
        <f aca="false">EDATE('Start Here'!$B$8,182)</f>
        <v>51867</v>
      </c>
      <c r="C187" s="42" t="n">
        <f aca="false">SUM(F187:O187)</f>
        <v>0</v>
      </c>
      <c r="D187" s="42" t="n">
        <f aca="false">ROUND(SUM($Z187:$AI187)-SUM(P186:Y186),2)</f>
        <v>0</v>
      </c>
      <c r="E187" s="55" t="n">
        <f aca="false">SUM(P187:Y187)</f>
        <v>0</v>
      </c>
      <c r="F187" s="42" t="n">
        <f aca="false">AJ187+MIN(Z187-AJ187,MAX(0,'Start Here'!$B$10-SUM($AJ187:$AS187)-SUMPRODUCT(($Z$3:$AI$3&lt;Z$3)*($Z187:$AI187-$AJ187:$AS187))))</f>
        <v>0</v>
      </c>
      <c r="G187" s="42" t="n">
        <f aca="false">AK187+MIN(AA187-AK187,MAX(0,'Start Here'!$B$10-SUM($AJ187:$AS187)-SUMPRODUCT(($Z$3:$AI$3&lt;AA$3)*($Z187:$AI187-$AJ187:$AS187))))</f>
        <v>0</v>
      </c>
      <c r="H187" s="42" t="n">
        <f aca="false">AL187+MIN(AB187-AL187,MAX(0,'Start Here'!$B$10-SUM($AJ187:$AS187)-SUMPRODUCT(($Z$3:$AI$3&lt;AB$3)*($Z187:$AI187-$AJ187:$AS187))))</f>
        <v>0</v>
      </c>
      <c r="I187" s="42" t="n">
        <f aca="false">AM187+MIN(AC187-AM187,MAX(0,'Start Here'!$B$10-SUM($AJ187:$AS187)-SUMPRODUCT(($Z$3:$AI$3&lt;AC$3)*($Z187:$AI187-$AJ187:$AS187))))</f>
        <v>0</v>
      </c>
      <c r="J187" s="42" t="n">
        <f aca="false">AN187+MIN(AD187-AN187,MAX(0,'Start Here'!$B$10-SUM($AJ187:$AS187)-SUMPRODUCT(($Z$3:$AI$3&lt;AD$3)*($Z187:$AI187-$AJ187:$AS187))))</f>
        <v>0</v>
      </c>
      <c r="K187" s="42" t="n">
        <f aca="false">AO187+MIN(AE187-AO187,MAX(0,'Start Here'!$B$10-SUM($AJ187:$AS187)-SUMPRODUCT(($Z$3:$AI$3&lt;AE$3)*($Z187:$AI187-$AJ187:$AS187))))</f>
        <v>0</v>
      </c>
      <c r="L187" s="42" t="n">
        <f aca="false">AP187+MIN(AF187-AP187,MAX(0,'Start Here'!$B$10-SUM($AJ187:$AS187)-SUMPRODUCT(($Z$3:$AI$3&lt;AF$3)*($Z187:$AI187-$AJ187:$AS187))))</f>
        <v>0</v>
      </c>
      <c r="M187" s="42" t="n">
        <f aca="false">AQ187+MIN(AG187-AQ187,MAX(0,'Start Here'!$B$10-SUM($AJ187:$AS187)-SUMPRODUCT(($Z$3:$AI$3&lt;AG$3)*($Z187:$AI187-$AJ187:$AS187))))</f>
        <v>0</v>
      </c>
      <c r="N187" s="42" t="n">
        <f aca="false">AR187+MIN(AH187-AR187,MAX(0,'Start Here'!$B$10-SUM($AJ187:$AS187)-SUMPRODUCT(($Z$3:$AI$3&lt;AH$3)*($Z187:$AI187-$AJ187:$AS187))))</f>
        <v>0</v>
      </c>
      <c r="O187" s="42" t="n">
        <f aca="false">AS187+MIN(AI187-AS187,MAX(0,'Start Here'!$B$10-SUM($AJ187:$AS187)-SUMPRODUCT(($Z$3:$AI$3&lt;AI$3)*($Z187:$AI187-$AJ187:$AS187))))</f>
        <v>0</v>
      </c>
      <c r="P187" s="42" t="n">
        <f aca="false">ROUND(Z187-F187,2)</f>
        <v>0</v>
      </c>
      <c r="Q187" s="42" t="n">
        <f aca="false">ROUND(AA187-G187,2)</f>
        <v>0</v>
      </c>
      <c r="R187" s="42" t="n">
        <f aca="false">ROUND(AB187-H187,2)</f>
        <v>0</v>
      </c>
      <c r="S187" s="42" t="n">
        <f aca="false">ROUND(AC187-I187,2)</f>
        <v>0</v>
      </c>
      <c r="T187" s="42" t="n">
        <f aca="false">ROUND(AD187-J187,2)</f>
        <v>0</v>
      </c>
      <c r="U187" s="42" t="n">
        <f aca="false">ROUND(AE187-K187,2)</f>
        <v>0</v>
      </c>
      <c r="V187" s="42" t="n">
        <f aca="false">ROUND(AF187-L187,2)</f>
        <v>0</v>
      </c>
      <c r="W187" s="42" t="n">
        <f aca="false">ROUND(AG187-M187,2)</f>
        <v>0</v>
      </c>
      <c r="X187" s="42" t="n">
        <f aca="false">ROUND(AH187-N187,2)</f>
        <v>0</v>
      </c>
      <c r="Y187" s="42" t="n">
        <f aca="false">ROUND(AI187-O187,2)</f>
        <v>0</v>
      </c>
      <c r="Z187" s="56" t="n">
        <f aca="false">ROUND(P186*(1+N(Debts!$D$5)/12),2)</f>
        <v>0</v>
      </c>
      <c r="AA187" s="56" t="n">
        <f aca="false">ROUND(Q186*(1+N(Debts!$D$6)/12),2)</f>
        <v>0</v>
      </c>
      <c r="AB187" s="56" t="n">
        <f aca="false">ROUND(R186*(1+N(Debts!$D$7)/12),2)</f>
        <v>0</v>
      </c>
      <c r="AC187" s="56" t="n">
        <f aca="false">ROUND(S186*(1+N(Debts!$D$8)/12),2)</f>
        <v>0</v>
      </c>
      <c r="AD187" s="56" t="n">
        <f aca="false">ROUND(T186*(1+N(Debts!$D$9)/12),2)</f>
        <v>0</v>
      </c>
      <c r="AE187" s="56" t="n">
        <f aca="false">ROUND(U186*(1+N(Debts!$D$10)/12),2)</f>
        <v>0</v>
      </c>
      <c r="AF187" s="56" t="n">
        <f aca="false">ROUND(V186*(1+N(Debts!$D$11)/12),2)</f>
        <v>0</v>
      </c>
      <c r="AG187" s="56" t="n">
        <f aca="false">ROUND(W186*(1+N(Debts!$D$12)/12),2)</f>
        <v>0</v>
      </c>
      <c r="AH187" s="56" t="n">
        <f aca="false">ROUND(X186*(1+N(Debts!$D$13)/12),2)</f>
        <v>0</v>
      </c>
      <c r="AI187" s="56" t="n">
        <f aca="false">ROUND(Y186*(1+N(Debts!$D$14)/12),2)</f>
        <v>0</v>
      </c>
      <c r="AJ187" s="56" t="n">
        <f aca="false">MIN(Z187,MAX(0,N(Debts!$E$5)))</f>
        <v>0</v>
      </c>
      <c r="AK187" s="56" t="n">
        <f aca="false">MIN(AA187,MAX(0,N(Debts!$E$6)))</f>
        <v>0</v>
      </c>
      <c r="AL187" s="56" t="n">
        <f aca="false">MIN(AB187,MAX(0,N(Debts!$E$7)))</f>
        <v>0</v>
      </c>
      <c r="AM187" s="56" t="n">
        <f aca="false">MIN(AC187,MAX(0,N(Debts!$E$8)))</f>
        <v>0</v>
      </c>
      <c r="AN187" s="56" t="n">
        <f aca="false">MIN(AD187,MAX(0,N(Debts!$E$9)))</f>
        <v>0</v>
      </c>
      <c r="AO187" s="56" t="n">
        <f aca="false">MIN(AE187,MAX(0,N(Debts!$E$10)))</f>
        <v>0</v>
      </c>
      <c r="AP187" s="56" t="n">
        <f aca="false">MIN(AF187,MAX(0,N(Debts!$E$11)))</f>
        <v>0</v>
      </c>
      <c r="AQ187" s="56" t="n">
        <f aca="false">MIN(AG187,MAX(0,N(Debts!$E$12)))</f>
        <v>0</v>
      </c>
      <c r="AR187" s="56" t="n">
        <f aca="false">MIN(AH187,MAX(0,N(Debts!$E$13)))</f>
        <v>0</v>
      </c>
      <c r="AS187" s="56" t="n">
        <f aca="false">MIN(AI187,MAX(0,N(Debts!$E$14)))</f>
        <v>0</v>
      </c>
    </row>
    <row r="188" customFormat="false" ht="15" hidden="false" customHeight="false" outlineLevel="0" collapsed="false">
      <c r="A188" s="53" t="n">
        <v>184</v>
      </c>
      <c r="B188" s="54" t="n">
        <f aca="false">EDATE('Start Here'!$B$8,183)</f>
        <v>51898</v>
      </c>
      <c r="C188" s="42" t="n">
        <f aca="false">SUM(F188:O188)</f>
        <v>0</v>
      </c>
      <c r="D188" s="42" t="n">
        <f aca="false">ROUND(SUM($Z188:$AI188)-SUM(P187:Y187),2)</f>
        <v>0</v>
      </c>
      <c r="E188" s="55" t="n">
        <f aca="false">SUM(P188:Y188)</f>
        <v>0</v>
      </c>
      <c r="F188" s="42" t="n">
        <f aca="false">AJ188+MIN(Z188-AJ188,MAX(0,'Start Here'!$B$10-SUM($AJ188:$AS188)-SUMPRODUCT(($Z$3:$AI$3&lt;Z$3)*($Z188:$AI188-$AJ188:$AS188))))</f>
        <v>0</v>
      </c>
      <c r="G188" s="42" t="n">
        <f aca="false">AK188+MIN(AA188-AK188,MAX(0,'Start Here'!$B$10-SUM($AJ188:$AS188)-SUMPRODUCT(($Z$3:$AI$3&lt;AA$3)*($Z188:$AI188-$AJ188:$AS188))))</f>
        <v>0</v>
      </c>
      <c r="H188" s="42" t="n">
        <f aca="false">AL188+MIN(AB188-AL188,MAX(0,'Start Here'!$B$10-SUM($AJ188:$AS188)-SUMPRODUCT(($Z$3:$AI$3&lt;AB$3)*($Z188:$AI188-$AJ188:$AS188))))</f>
        <v>0</v>
      </c>
      <c r="I188" s="42" t="n">
        <f aca="false">AM188+MIN(AC188-AM188,MAX(0,'Start Here'!$B$10-SUM($AJ188:$AS188)-SUMPRODUCT(($Z$3:$AI$3&lt;AC$3)*($Z188:$AI188-$AJ188:$AS188))))</f>
        <v>0</v>
      </c>
      <c r="J188" s="42" t="n">
        <f aca="false">AN188+MIN(AD188-AN188,MAX(0,'Start Here'!$B$10-SUM($AJ188:$AS188)-SUMPRODUCT(($Z$3:$AI$3&lt;AD$3)*($Z188:$AI188-$AJ188:$AS188))))</f>
        <v>0</v>
      </c>
      <c r="K188" s="42" t="n">
        <f aca="false">AO188+MIN(AE188-AO188,MAX(0,'Start Here'!$B$10-SUM($AJ188:$AS188)-SUMPRODUCT(($Z$3:$AI$3&lt;AE$3)*($Z188:$AI188-$AJ188:$AS188))))</f>
        <v>0</v>
      </c>
      <c r="L188" s="42" t="n">
        <f aca="false">AP188+MIN(AF188-AP188,MAX(0,'Start Here'!$B$10-SUM($AJ188:$AS188)-SUMPRODUCT(($Z$3:$AI$3&lt;AF$3)*($Z188:$AI188-$AJ188:$AS188))))</f>
        <v>0</v>
      </c>
      <c r="M188" s="42" t="n">
        <f aca="false">AQ188+MIN(AG188-AQ188,MAX(0,'Start Here'!$B$10-SUM($AJ188:$AS188)-SUMPRODUCT(($Z$3:$AI$3&lt;AG$3)*($Z188:$AI188-$AJ188:$AS188))))</f>
        <v>0</v>
      </c>
      <c r="N188" s="42" t="n">
        <f aca="false">AR188+MIN(AH188-AR188,MAX(0,'Start Here'!$B$10-SUM($AJ188:$AS188)-SUMPRODUCT(($Z$3:$AI$3&lt;AH$3)*($Z188:$AI188-$AJ188:$AS188))))</f>
        <v>0</v>
      </c>
      <c r="O188" s="42" t="n">
        <f aca="false">AS188+MIN(AI188-AS188,MAX(0,'Start Here'!$B$10-SUM($AJ188:$AS188)-SUMPRODUCT(($Z$3:$AI$3&lt;AI$3)*($Z188:$AI188-$AJ188:$AS188))))</f>
        <v>0</v>
      </c>
      <c r="P188" s="42" t="n">
        <f aca="false">ROUND(Z188-F188,2)</f>
        <v>0</v>
      </c>
      <c r="Q188" s="42" t="n">
        <f aca="false">ROUND(AA188-G188,2)</f>
        <v>0</v>
      </c>
      <c r="R188" s="42" t="n">
        <f aca="false">ROUND(AB188-H188,2)</f>
        <v>0</v>
      </c>
      <c r="S188" s="42" t="n">
        <f aca="false">ROUND(AC188-I188,2)</f>
        <v>0</v>
      </c>
      <c r="T188" s="42" t="n">
        <f aca="false">ROUND(AD188-J188,2)</f>
        <v>0</v>
      </c>
      <c r="U188" s="42" t="n">
        <f aca="false">ROUND(AE188-K188,2)</f>
        <v>0</v>
      </c>
      <c r="V188" s="42" t="n">
        <f aca="false">ROUND(AF188-L188,2)</f>
        <v>0</v>
      </c>
      <c r="W188" s="42" t="n">
        <f aca="false">ROUND(AG188-M188,2)</f>
        <v>0</v>
      </c>
      <c r="X188" s="42" t="n">
        <f aca="false">ROUND(AH188-N188,2)</f>
        <v>0</v>
      </c>
      <c r="Y188" s="42" t="n">
        <f aca="false">ROUND(AI188-O188,2)</f>
        <v>0</v>
      </c>
      <c r="Z188" s="56" t="n">
        <f aca="false">ROUND(P187*(1+N(Debts!$D$5)/12),2)</f>
        <v>0</v>
      </c>
      <c r="AA188" s="56" t="n">
        <f aca="false">ROUND(Q187*(1+N(Debts!$D$6)/12),2)</f>
        <v>0</v>
      </c>
      <c r="AB188" s="56" t="n">
        <f aca="false">ROUND(R187*(1+N(Debts!$D$7)/12),2)</f>
        <v>0</v>
      </c>
      <c r="AC188" s="56" t="n">
        <f aca="false">ROUND(S187*(1+N(Debts!$D$8)/12),2)</f>
        <v>0</v>
      </c>
      <c r="AD188" s="56" t="n">
        <f aca="false">ROUND(T187*(1+N(Debts!$D$9)/12),2)</f>
        <v>0</v>
      </c>
      <c r="AE188" s="56" t="n">
        <f aca="false">ROUND(U187*(1+N(Debts!$D$10)/12),2)</f>
        <v>0</v>
      </c>
      <c r="AF188" s="56" t="n">
        <f aca="false">ROUND(V187*(1+N(Debts!$D$11)/12),2)</f>
        <v>0</v>
      </c>
      <c r="AG188" s="56" t="n">
        <f aca="false">ROUND(W187*(1+N(Debts!$D$12)/12),2)</f>
        <v>0</v>
      </c>
      <c r="AH188" s="56" t="n">
        <f aca="false">ROUND(X187*(1+N(Debts!$D$13)/12),2)</f>
        <v>0</v>
      </c>
      <c r="AI188" s="56" t="n">
        <f aca="false">ROUND(Y187*(1+N(Debts!$D$14)/12),2)</f>
        <v>0</v>
      </c>
      <c r="AJ188" s="56" t="n">
        <f aca="false">MIN(Z188,MAX(0,N(Debts!$E$5)))</f>
        <v>0</v>
      </c>
      <c r="AK188" s="56" t="n">
        <f aca="false">MIN(AA188,MAX(0,N(Debts!$E$6)))</f>
        <v>0</v>
      </c>
      <c r="AL188" s="56" t="n">
        <f aca="false">MIN(AB188,MAX(0,N(Debts!$E$7)))</f>
        <v>0</v>
      </c>
      <c r="AM188" s="56" t="n">
        <f aca="false">MIN(AC188,MAX(0,N(Debts!$E$8)))</f>
        <v>0</v>
      </c>
      <c r="AN188" s="56" t="n">
        <f aca="false">MIN(AD188,MAX(0,N(Debts!$E$9)))</f>
        <v>0</v>
      </c>
      <c r="AO188" s="56" t="n">
        <f aca="false">MIN(AE188,MAX(0,N(Debts!$E$10)))</f>
        <v>0</v>
      </c>
      <c r="AP188" s="56" t="n">
        <f aca="false">MIN(AF188,MAX(0,N(Debts!$E$11)))</f>
        <v>0</v>
      </c>
      <c r="AQ188" s="56" t="n">
        <f aca="false">MIN(AG188,MAX(0,N(Debts!$E$12)))</f>
        <v>0</v>
      </c>
      <c r="AR188" s="56" t="n">
        <f aca="false">MIN(AH188,MAX(0,N(Debts!$E$13)))</f>
        <v>0</v>
      </c>
      <c r="AS188" s="56" t="n">
        <f aca="false">MIN(AI188,MAX(0,N(Debts!$E$14)))</f>
        <v>0</v>
      </c>
    </row>
    <row r="189" customFormat="false" ht="15" hidden="false" customHeight="false" outlineLevel="0" collapsed="false">
      <c r="A189" s="53" t="n">
        <v>185</v>
      </c>
      <c r="B189" s="54" t="n">
        <f aca="false">EDATE('Start Here'!$B$8,184)</f>
        <v>51926</v>
      </c>
      <c r="C189" s="42" t="n">
        <f aca="false">SUM(F189:O189)</f>
        <v>0</v>
      </c>
      <c r="D189" s="42" t="n">
        <f aca="false">ROUND(SUM($Z189:$AI189)-SUM(P188:Y188),2)</f>
        <v>0</v>
      </c>
      <c r="E189" s="55" t="n">
        <f aca="false">SUM(P189:Y189)</f>
        <v>0</v>
      </c>
      <c r="F189" s="42" t="n">
        <f aca="false">AJ189+MIN(Z189-AJ189,MAX(0,'Start Here'!$B$10-SUM($AJ189:$AS189)-SUMPRODUCT(($Z$3:$AI$3&lt;Z$3)*($Z189:$AI189-$AJ189:$AS189))))</f>
        <v>0</v>
      </c>
      <c r="G189" s="42" t="n">
        <f aca="false">AK189+MIN(AA189-AK189,MAX(0,'Start Here'!$B$10-SUM($AJ189:$AS189)-SUMPRODUCT(($Z$3:$AI$3&lt;AA$3)*($Z189:$AI189-$AJ189:$AS189))))</f>
        <v>0</v>
      </c>
      <c r="H189" s="42" t="n">
        <f aca="false">AL189+MIN(AB189-AL189,MAX(0,'Start Here'!$B$10-SUM($AJ189:$AS189)-SUMPRODUCT(($Z$3:$AI$3&lt;AB$3)*($Z189:$AI189-$AJ189:$AS189))))</f>
        <v>0</v>
      </c>
      <c r="I189" s="42" t="n">
        <f aca="false">AM189+MIN(AC189-AM189,MAX(0,'Start Here'!$B$10-SUM($AJ189:$AS189)-SUMPRODUCT(($Z$3:$AI$3&lt;AC$3)*($Z189:$AI189-$AJ189:$AS189))))</f>
        <v>0</v>
      </c>
      <c r="J189" s="42" t="n">
        <f aca="false">AN189+MIN(AD189-AN189,MAX(0,'Start Here'!$B$10-SUM($AJ189:$AS189)-SUMPRODUCT(($Z$3:$AI$3&lt;AD$3)*($Z189:$AI189-$AJ189:$AS189))))</f>
        <v>0</v>
      </c>
      <c r="K189" s="42" t="n">
        <f aca="false">AO189+MIN(AE189-AO189,MAX(0,'Start Here'!$B$10-SUM($AJ189:$AS189)-SUMPRODUCT(($Z$3:$AI$3&lt;AE$3)*($Z189:$AI189-$AJ189:$AS189))))</f>
        <v>0</v>
      </c>
      <c r="L189" s="42" t="n">
        <f aca="false">AP189+MIN(AF189-AP189,MAX(0,'Start Here'!$B$10-SUM($AJ189:$AS189)-SUMPRODUCT(($Z$3:$AI$3&lt;AF$3)*($Z189:$AI189-$AJ189:$AS189))))</f>
        <v>0</v>
      </c>
      <c r="M189" s="42" t="n">
        <f aca="false">AQ189+MIN(AG189-AQ189,MAX(0,'Start Here'!$B$10-SUM($AJ189:$AS189)-SUMPRODUCT(($Z$3:$AI$3&lt;AG$3)*($Z189:$AI189-$AJ189:$AS189))))</f>
        <v>0</v>
      </c>
      <c r="N189" s="42" t="n">
        <f aca="false">AR189+MIN(AH189-AR189,MAX(0,'Start Here'!$B$10-SUM($AJ189:$AS189)-SUMPRODUCT(($Z$3:$AI$3&lt;AH$3)*($Z189:$AI189-$AJ189:$AS189))))</f>
        <v>0</v>
      </c>
      <c r="O189" s="42" t="n">
        <f aca="false">AS189+MIN(AI189-AS189,MAX(0,'Start Here'!$B$10-SUM($AJ189:$AS189)-SUMPRODUCT(($Z$3:$AI$3&lt;AI$3)*($Z189:$AI189-$AJ189:$AS189))))</f>
        <v>0</v>
      </c>
      <c r="P189" s="42" t="n">
        <f aca="false">ROUND(Z189-F189,2)</f>
        <v>0</v>
      </c>
      <c r="Q189" s="42" t="n">
        <f aca="false">ROUND(AA189-G189,2)</f>
        <v>0</v>
      </c>
      <c r="R189" s="42" t="n">
        <f aca="false">ROUND(AB189-H189,2)</f>
        <v>0</v>
      </c>
      <c r="S189" s="42" t="n">
        <f aca="false">ROUND(AC189-I189,2)</f>
        <v>0</v>
      </c>
      <c r="T189" s="42" t="n">
        <f aca="false">ROUND(AD189-J189,2)</f>
        <v>0</v>
      </c>
      <c r="U189" s="42" t="n">
        <f aca="false">ROUND(AE189-K189,2)</f>
        <v>0</v>
      </c>
      <c r="V189" s="42" t="n">
        <f aca="false">ROUND(AF189-L189,2)</f>
        <v>0</v>
      </c>
      <c r="W189" s="42" t="n">
        <f aca="false">ROUND(AG189-M189,2)</f>
        <v>0</v>
      </c>
      <c r="X189" s="42" t="n">
        <f aca="false">ROUND(AH189-N189,2)</f>
        <v>0</v>
      </c>
      <c r="Y189" s="42" t="n">
        <f aca="false">ROUND(AI189-O189,2)</f>
        <v>0</v>
      </c>
      <c r="Z189" s="56" t="n">
        <f aca="false">ROUND(P188*(1+N(Debts!$D$5)/12),2)</f>
        <v>0</v>
      </c>
      <c r="AA189" s="56" t="n">
        <f aca="false">ROUND(Q188*(1+N(Debts!$D$6)/12),2)</f>
        <v>0</v>
      </c>
      <c r="AB189" s="56" t="n">
        <f aca="false">ROUND(R188*(1+N(Debts!$D$7)/12),2)</f>
        <v>0</v>
      </c>
      <c r="AC189" s="56" t="n">
        <f aca="false">ROUND(S188*(1+N(Debts!$D$8)/12),2)</f>
        <v>0</v>
      </c>
      <c r="AD189" s="56" t="n">
        <f aca="false">ROUND(T188*(1+N(Debts!$D$9)/12),2)</f>
        <v>0</v>
      </c>
      <c r="AE189" s="56" t="n">
        <f aca="false">ROUND(U188*(1+N(Debts!$D$10)/12),2)</f>
        <v>0</v>
      </c>
      <c r="AF189" s="56" t="n">
        <f aca="false">ROUND(V188*(1+N(Debts!$D$11)/12),2)</f>
        <v>0</v>
      </c>
      <c r="AG189" s="56" t="n">
        <f aca="false">ROUND(W188*(1+N(Debts!$D$12)/12),2)</f>
        <v>0</v>
      </c>
      <c r="AH189" s="56" t="n">
        <f aca="false">ROUND(X188*(1+N(Debts!$D$13)/12),2)</f>
        <v>0</v>
      </c>
      <c r="AI189" s="56" t="n">
        <f aca="false">ROUND(Y188*(1+N(Debts!$D$14)/12),2)</f>
        <v>0</v>
      </c>
      <c r="AJ189" s="56" t="n">
        <f aca="false">MIN(Z189,MAX(0,N(Debts!$E$5)))</f>
        <v>0</v>
      </c>
      <c r="AK189" s="56" t="n">
        <f aca="false">MIN(AA189,MAX(0,N(Debts!$E$6)))</f>
        <v>0</v>
      </c>
      <c r="AL189" s="56" t="n">
        <f aca="false">MIN(AB189,MAX(0,N(Debts!$E$7)))</f>
        <v>0</v>
      </c>
      <c r="AM189" s="56" t="n">
        <f aca="false">MIN(AC189,MAX(0,N(Debts!$E$8)))</f>
        <v>0</v>
      </c>
      <c r="AN189" s="56" t="n">
        <f aca="false">MIN(AD189,MAX(0,N(Debts!$E$9)))</f>
        <v>0</v>
      </c>
      <c r="AO189" s="56" t="n">
        <f aca="false">MIN(AE189,MAX(0,N(Debts!$E$10)))</f>
        <v>0</v>
      </c>
      <c r="AP189" s="56" t="n">
        <f aca="false">MIN(AF189,MAX(0,N(Debts!$E$11)))</f>
        <v>0</v>
      </c>
      <c r="AQ189" s="56" t="n">
        <f aca="false">MIN(AG189,MAX(0,N(Debts!$E$12)))</f>
        <v>0</v>
      </c>
      <c r="AR189" s="56" t="n">
        <f aca="false">MIN(AH189,MAX(0,N(Debts!$E$13)))</f>
        <v>0</v>
      </c>
      <c r="AS189" s="56" t="n">
        <f aca="false">MIN(AI189,MAX(0,N(Debts!$E$14)))</f>
        <v>0</v>
      </c>
    </row>
    <row r="190" customFormat="false" ht="15" hidden="false" customHeight="false" outlineLevel="0" collapsed="false">
      <c r="A190" s="53" t="n">
        <v>186</v>
      </c>
      <c r="B190" s="54" t="n">
        <f aca="false">EDATE('Start Here'!$B$8,185)</f>
        <v>51957</v>
      </c>
      <c r="C190" s="42" t="n">
        <f aca="false">SUM(F190:O190)</f>
        <v>0</v>
      </c>
      <c r="D190" s="42" t="n">
        <f aca="false">ROUND(SUM($Z190:$AI190)-SUM(P189:Y189),2)</f>
        <v>0</v>
      </c>
      <c r="E190" s="55" t="n">
        <f aca="false">SUM(P190:Y190)</f>
        <v>0</v>
      </c>
      <c r="F190" s="42" t="n">
        <f aca="false">AJ190+MIN(Z190-AJ190,MAX(0,'Start Here'!$B$10-SUM($AJ190:$AS190)-SUMPRODUCT(($Z$3:$AI$3&lt;Z$3)*($Z190:$AI190-$AJ190:$AS190))))</f>
        <v>0</v>
      </c>
      <c r="G190" s="42" t="n">
        <f aca="false">AK190+MIN(AA190-AK190,MAX(0,'Start Here'!$B$10-SUM($AJ190:$AS190)-SUMPRODUCT(($Z$3:$AI$3&lt;AA$3)*($Z190:$AI190-$AJ190:$AS190))))</f>
        <v>0</v>
      </c>
      <c r="H190" s="42" t="n">
        <f aca="false">AL190+MIN(AB190-AL190,MAX(0,'Start Here'!$B$10-SUM($AJ190:$AS190)-SUMPRODUCT(($Z$3:$AI$3&lt;AB$3)*($Z190:$AI190-$AJ190:$AS190))))</f>
        <v>0</v>
      </c>
      <c r="I190" s="42" t="n">
        <f aca="false">AM190+MIN(AC190-AM190,MAX(0,'Start Here'!$B$10-SUM($AJ190:$AS190)-SUMPRODUCT(($Z$3:$AI$3&lt;AC$3)*($Z190:$AI190-$AJ190:$AS190))))</f>
        <v>0</v>
      </c>
      <c r="J190" s="42" t="n">
        <f aca="false">AN190+MIN(AD190-AN190,MAX(0,'Start Here'!$B$10-SUM($AJ190:$AS190)-SUMPRODUCT(($Z$3:$AI$3&lt;AD$3)*($Z190:$AI190-$AJ190:$AS190))))</f>
        <v>0</v>
      </c>
      <c r="K190" s="42" t="n">
        <f aca="false">AO190+MIN(AE190-AO190,MAX(0,'Start Here'!$B$10-SUM($AJ190:$AS190)-SUMPRODUCT(($Z$3:$AI$3&lt;AE$3)*($Z190:$AI190-$AJ190:$AS190))))</f>
        <v>0</v>
      </c>
      <c r="L190" s="42" t="n">
        <f aca="false">AP190+MIN(AF190-AP190,MAX(0,'Start Here'!$B$10-SUM($AJ190:$AS190)-SUMPRODUCT(($Z$3:$AI$3&lt;AF$3)*($Z190:$AI190-$AJ190:$AS190))))</f>
        <v>0</v>
      </c>
      <c r="M190" s="42" t="n">
        <f aca="false">AQ190+MIN(AG190-AQ190,MAX(0,'Start Here'!$B$10-SUM($AJ190:$AS190)-SUMPRODUCT(($Z$3:$AI$3&lt;AG$3)*($Z190:$AI190-$AJ190:$AS190))))</f>
        <v>0</v>
      </c>
      <c r="N190" s="42" t="n">
        <f aca="false">AR190+MIN(AH190-AR190,MAX(0,'Start Here'!$B$10-SUM($AJ190:$AS190)-SUMPRODUCT(($Z$3:$AI$3&lt;AH$3)*($Z190:$AI190-$AJ190:$AS190))))</f>
        <v>0</v>
      </c>
      <c r="O190" s="42" t="n">
        <f aca="false">AS190+MIN(AI190-AS190,MAX(0,'Start Here'!$B$10-SUM($AJ190:$AS190)-SUMPRODUCT(($Z$3:$AI$3&lt;AI$3)*($Z190:$AI190-$AJ190:$AS190))))</f>
        <v>0</v>
      </c>
      <c r="P190" s="42" t="n">
        <f aca="false">ROUND(Z190-F190,2)</f>
        <v>0</v>
      </c>
      <c r="Q190" s="42" t="n">
        <f aca="false">ROUND(AA190-G190,2)</f>
        <v>0</v>
      </c>
      <c r="R190" s="42" t="n">
        <f aca="false">ROUND(AB190-H190,2)</f>
        <v>0</v>
      </c>
      <c r="S190" s="42" t="n">
        <f aca="false">ROUND(AC190-I190,2)</f>
        <v>0</v>
      </c>
      <c r="T190" s="42" t="n">
        <f aca="false">ROUND(AD190-J190,2)</f>
        <v>0</v>
      </c>
      <c r="U190" s="42" t="n">
        <f aca="false">ROUND(AE190-K190,2)</f>
        <v>0</v>
      </c>
      <c r="V190" s="42" t="n">
        <f aca="false">ROUND(AF190-L190,2)</f>
        <v>0</v>
      </c>
      <c r="W190" s="42" t="n">
        <f aca="false">ROUND(AG190-M190,2)</f>
        <v>0</v>
      </c>
      <c r="X190" s="42" t="n">
        <f aca="false">ROUND(AH190-N190,2)</f>
        <v>0</v>
      </c>
      <c r="Y190" s="42" t="n">
        <f aca="false">ROUND(AI190-O190,2)</f>
        <v>0</v>
      </c>
      <c r="Z190" s="56" t="n">
        <f aca="false">ROUND(P189*(1+N(Debts!$D$5)/12),2)</f>
        <v>0</v>
      </c>
      <c r="AA190" s="56" t="n">
        <f aca="false">ROUND(Q189*(1+N(Debts!$D$6)/12),2)</f>
        <v>0</v>
      </c>
      <c r="AB190" s="56" t="n">
        <f aca="false">ROUND(R189*(1+N(Debts!$D$7)/12),2)</f>
        <v>0</v>
      </c>
      <c r="AC190" s="56" t="n">
        <f aca="false">ROUND(S189*(1+N(Debts!$D$8)/12),2)</f>
        <v>0</v>
      </c>
      <c r="AD190" s="56" t="n">
        <f aca="false">ROUND(T189*(1+N(Debts!$D$9)/12),2)</f>
        <v>0</v>
      </c>
      <c r="AE190" s="56" t="n">
        <f aca="false">ROUND(U189*(1+N(Debts!$D$10)/12),2)</f>
        <v>0</v>
      </c>
      <c r="AF190" s="56" t="n">
        <f aca="false">ROUND(V189*(1+N(Debts!$D$11)/12),2)</f>
        <v>0</v>
      </c>
      <c r="AG190" s="56" t="n">
        <f aca="false">ROUND(W189*(1+N(Debts!$D$12)/12),2)</f>
        <v>0</v>
      </c>
      <c r="AH190" s="56" t="n">
        <f aca="false">ROUND(X189*(1+N(Debts!$D$13)/12),2)</f>
        <v>0</v>
      </c>
      <c r="AI190" s="56" t="n">
        <f aca="false">ROUND(Y189*(1+N(Debts!$D$14)/12),2)</f>
        <v>0</v>
      </c>
      <c r="AJ190" s="56" t="n">
        <f aca="false">MIN(Z190,MAX(0,N(Debts!$E$5)))</f>
        <v>0</v>
      </c>
      <c r="AK190" s="56" t="n">
        <f aca="false">MIN(AA190,MAX(0,N(Debts!$E$6)))</f>
        <v>0</v>
      </c>
      <c r="AL190" s="56" t="n">
        <f aca="false">MIN(AB190,MAX(0,N(Debts!$E$7)))</f>
        <v>0</v>
      </c>
      <c r="AM190" s="56" t="n">
        <f aca="false">MIN(AC190,MAX(0,N(Debts!$E$8)))</f>
        <v>0</v>
      </c>
      <c r="AN190" s="56" t="n">
        <f aca="false">MIN(AD190,MAX(0,N(Debts!$E$9)))</f>
        <v>0</v>
      </c>
      <c r="AO190" s="56" t="n">
        <f aca="false">MIN(AE190,MAX(0,N(Debts!$E$10)))</f>
        <v>0</v>
      </c>
      <c r="AP190" s="56" t="n">
        <f aca="false">MIN(AF190,MAX(0,N(Debts!$E$11)))</f>
        <v>0</v>
      </c>
      <c r="AQ190" s="56" t="n">
        <f aca="false">MIN(AG190,MAX(0,N(Debts!$E$12)))</f>
        <v>0</v>
      </c>
      <c r="AR190" s="56" t="n">
        <f aca="false">MIN(AH190,MAX(0,N(Debts!$E$13)))</f>
        <v>0</v>
      </c>
      <c r="AS190" s="56" t="n">
        <f aca="false">MIN(AI190,MAX(0,N(Debts!$E$14)))</f>
        <v>0</v>
      </c>
    </row>
    <row r="191" customFormat="false" ht="15" hidden="false" customHeight="false" outlineLevel="0" collapsed="false">
      <c r="A191" s="53" t="n">
        <v>187</v>
      </c>
      <c r="B191" s="54" t="n">
        <f aca="false">EDATE('Start Here'!$B$8,186)</f>
        <v>51987</v>
      </c>
      <c r="C191" s="42" t="n">
        <f aca="false">SUM(F191:O191)</f>
        <v>0</v>
      </c>
      <c r="D191" s="42" t="n">
        <f aca="false">ROUND(SUM($Z191:$AI191)-SUM(P190:Y190),2)</f>
        <v>0</v>
      </c>
      <c r="E191" s="55" t="n">
        <f aca="false">SUM(P191:Y191)</f>
        <v>0</v>
      </c>
      <c r="F191" s="42" t="n">
        <f aca="false">AJ191+MIN(Z191-AJ191,MAX(0,'Start Here'!$B$10-SUM($AJ191:$AS191)-SUMPRODUCT(($Z$3:$AI$3&lt;Z$3)*($Z191:$AI191-$AJ191:$AS191))))</f>
        <v>0</v>
      </c>
      <c r="G191" s="42" t="n">
        <f aca="false">AK191+MIN(AA191-AK191,MAX(0,'Start Here'!$B$10-SUM($AJ191:$AS191)-SUMPRODUCT(($Z$3:$AI$3&lt;AA$3)*($Z191:$AI191-$AJ191:$AS191))))</f>
        <v>0</v>
      </c>
      <c r="H191" s="42" t="n">
        <f aca="false">AL191+MIN(AB191-AL191,MAX(0,'Start Here'!$B$10-SUM($AJ191:$AS191)-SUMPRODUCT(($Z$3:$AI$3&lt;AB$3)*($Z191:$AI191-$AJ191:$AS191))))</f>
        <v>0</v>
      </c>
      <c r="I191" s="42" t="n">
        <f aca="false">AM191+MIN(AC191-AM191,MAX(0,'Start Here'!$B$10-SUM($AJ191:$AS191)-SUMPRODUCT(($Z$3:$AI$3&lt;AC$3)*($Z191:$AI191-$AJ191:$AS191))))</f>
        <v>0</v>
      </c>
      <c r="J191" s="42" t="n">
        <f aca="false">AN191+MIN(AD191-AN191,MAX(0,'Start Here'!$B$10-SUM($AJ191:$AS191)-SUMPRODUCT(($Z$3:$AI$3&lt;AD$3)*($Z191:$AI191-$AJ191:$AS191))))</f>
        <v>0</v>
      </c>
      <c r="K191" s="42" t="n">
        <f aca="false">AO191+MIN(AE191-AO191,MAX(0,'Start Here'!$B$10-SUM($AJ191:$AS191)-SUMPRODUCT(($Z$3:$AI$3&lt;AE$3)*($Z191:$AI191-$AJ191:$AS191))))</f>
        <v>0</v>
      </c>
      <c r="L191" s="42" t="n">
        <f aca="false">AP191+MIN(AF191-AP191,MAX(0,'Start Here'!$B$10-SUM($AJ191:$AS191)-SUMPRODUCT(($Z$3:$AI$3&lt;AF$3)*($Z191:$AI191-$AJ191:$AS191))))</f>
        <v>0</v>
      </c>
      <c r="M191" s="42" t="n">
        <f aca="false">AQ191+MIN(AG191-AQ191,MAX(0,'Start Here'!$B$10-SUM($AJ191:$AS191)-SUMPRODUCT(($Z$3:$AI$3&lt;AG$3)*($Z191:$AI191-$AJ191:$AS191))))</f>
        <v>0</v>
      </c>
      <c r="N191" s="42" t="n">
        <f aca="false">AR191+MIN(AH191-AR191,MAX(0,'Start Here'!$B$10-SUM($AJ191:$AS191)-SUMPRODUCT(($Z$3:$AI$3&lt;AH$3)*($Z191:$AI191-$AJ191:$AS191))))</f>
        <v>0</v>
      </c>
      <c r="O191" s="42" t="n">
        <f aca="false">AS191+MIN(AI191-AS191,MAX(0,'Start Here'!$B$10-SUM($AJ191:$AS191)-SUMPRODUCT(($Z$3:$AI$3&lt;AI$3)*($Z191:$AI191-$AJ191:$AS191))))</f>
        <v>0</v>
      </c>
      <c r="P191" s="42" t="n">
        <f aca="false">ROUND(Z191-F191,2)</f>
        <v>0</v>
      </c>
      <c r="Q191" s="42" t="n">
        <f aca="false">ROUND(AA191-G191,2)</f>
        <v>0</v>
      </c>
      <c r="R191" s="42" t="n">
        <f aca="false">ROUND(AB191-H191,2)</f>
        <v>0</v>
      </c>
      <c r="S191" s="42" t="n">
        <f aca="false">ROUND(AC191-I191,2)</f>
        <v>0</v>
      </c>
      <c r="T191" s="42" t="n">
        <f aca="false">ROUND(AD191-J191,2)</f>
        <v>0</v>
      </c>
      <c r="U191" s="42" t="n">
        <f aca="false">ROUND(AE191-K191,2)</f>
        <v>0</v>
      </c>
      <c r="V191" s="42" t="n">
        <f aca="false">ROUND(AF191-L191,2)</f>
        <v>0</v>
      </c>
      <c r="W191" s="42" t="n">
        <f aca="false">ROUND(AG191-M191,2)</f>
        <v>0</v>
      </c>
      <c r="X191" s="42" t="n">
        <f aca="false">ROUND(AH191-N191,2)</f>
        <v>0</v>
      </c>
      <c r="Y191" s="42" t="n">
        <f aca="false">ROUND(AI191-O191,2)</f>
        <v>0</v>
      </c>
      <c r="Z191" s="56" t="n">
        <f aca="false">ROUND(P190*(1+N(Debts!$D$5)/12),2)</f>
        <v>0</v>
      </c>
      <c r="AA191" s="56" t="n">
        <f aca="false">ROUND(Q190*(1+N(Debts!$D$6)/12),2)</f>
        <v>0</v>
      </c>
      <c r="AB191" s="56" t="n">
        <f aca="false">ROUND(R190*(1+N(Debts!$D$7)/12),2)</f>
        <v>0</v>
      </c>
      <c r="AC191" s="56" t="n">
        <f aca="false">ROUND(S190*(1+N(Debts!$D$8)/12),2)</f>
        <v>0</v>
      </c>
      <c r="AD191" s="56" t="n">
        <f aca="false">ROUND(T190*(1+N(Debts!$D$9)/12),2)</f>
        <v>0</v>
      </c>
      <c r="AE191" s="56" t="n">
        <f aca="false">ROUND(U190*(1+N(Debts!$D$10)/12),2)</f>
        <v>0</v>
      </c>
      <c r="AF191" s="56" t="n">
        <f aca="false">ROUND(V190*(1+N(Debts!$D$11)/12),2)</f>
        <v>0</v>
      </c>
      <c r="AG191" s="56" t="n">
        <f aca="false">ROUND(W190*(1+N(Debts!$D$12)/12),2)</f>
        <v>0</v>
      </c>
      <c r="AH191" s="56" t="n">
        <f aca="false">ROUND(X190*(1+N(Debts!$D$13)/12),2)</f>
        <v>0</v>
      </c>
      <c r="AI191" s="56" t="n">
        <f aca="false">ROUND(Y190*(1+N(Debts!$D$14)/12),2)</f>
        <v>0</v>
      </c>
      <c r="AJ191" s="56" t="n">
        <f aca="false">MIN(Z191,MAX(0,N(Debts!$E$5)))</f>
        <v>0</v>
      </c>
      <c r="AK191" s="56" t="n">
        <f aca="false">MIN(AA191,MAX(0,N(Debts!$E$6)))</f>
        <v>0</v>
      </c>
      <c r="AL191" s="56" t="n">
        <f aca="false">MIN(AB191,MAX(0,N(Debts!$E$7)))</f>
        <v>0</v>
      </c>
      <c r="AM191" s="56" t="n">
        <f aca="false">MIN(AC191,MAX(0,N(Debts!$E$8)))</f>
        <v>0</v>
      </c>
      <c r="AN191" s="56" t="n">
        <f aca="false">MIN(AD191,MAX(0,N(Debts!$E$9)))</f>
        <v>0</v>
      </c>
      <c r="AO191" s="56" t="n">
        <f aca="false">MIN(AE191,MAX(0,N(Debts!$E$10)))</f>
        <v>0</v>
      </c>
      <c r="AP191" s="56" t="n">
        <f aca="false">MIN(AF191,MAX(0,N(Debts!$E$11)))</f>
        <v>0</v>
      </c>
      <c r="AQ191" s="56" t="n">
        <f aca="false">MIN(AG191,MAX(0,N(Debts!$E$12)))</f>
        <v>0</v>
      </c>
      <c r="AR191" s="56" t="n">
        <f aca="false">MIN(AH191,MAX(0,N(Debts!$E$13)))</f>
        <v>0</v>
      </c>
      <c r="AS191" s="56" t="n">
        <f aca="false">MIN(AI191,MAX(0,N(Debts!$E$14)))</f>
        <v>0</v>
      </c>
    </row>
    <row r="192" customFormat="false" ht="15" hidden="false" customHeight="false" outlineLevel="0" collapsed="false">
      <c r="A192" s="53" t="n">
        <v>188</v>
      </c>
      <c r="B192" s="54" t="n">
        <f aca="false">EDATE('Start Here'!$B$8,187)</f>
        <v>52018</v>
      </c>
      <c r="C192" s="42" t="n">
        <f aca="false">SUM(F192:O192)</f>
        <v>0</v>
      </c>
      <c r="D192" s="42" t="n">
        <f aca="false">ROUND(SUM($Z192:$AI192)-SUM(P191:Y191),2)</f>
        <v>0</v>
      </c>
      <c r="E192" s="55" t="n">
        <f aca="false">SUM(P192:Y192)</f>
        <v>0</v>
      </c>
      <c r="F192" s="42" t="n">
        <f aca="false">AJ192+MIN(Z192-AJ192,MAX(0,'Start Here'!$B$10-SUM($AJ192:$AS192)-SUMPRODUCT(($Z$3:$AI$3&lt;Z$3)*($Z192:$AI192-$AJ192:$AS192))))</f>
        <v>0</v>
      </c>
      <c r="G192" s="42" t="n">
        <f aca="false">AK192+MIN(AA192-AK192,MAX(0,'Start Here'!$B$10-SUM($AJ192:$AS192)-SUMPRODUCT(($Z$3:$AI$3&lt;AA$3)*($Z192:$AI192-$AJ192:$AS192))))</f>
        <v>0</v>
      </c>
      <c r="H192" s="42" t="n">
        <f aca="false">AL192+MIN(AB192-AL192,MAX(0,'Start Here'!$B$10-SUM($AJ192:$AS192)-SUMPRODUCT(($Z$3:$AI$3&lt;AB$3)*($Z192:$AI192-$AJ192:$AS192))))</f>
        <v>0</v>
      </c>
      <c r="I192" s="42" t="n">
        <f aca="false">AM192+MIN(AC192-AM192,MAX(0,'Start Here'!$B$10-SUM($AJ192:$AS192)-SUMPRODUCT(($Z$3:$AI$3&lt;AC$3)*($Z192:$AI192-$AJ192:$AS192))))</f>
        <v>0</v>
      </c>
      <c r="J192" s="42" t="n">
        <f aca="false">AN192+MIN(AD192-AN192,MAX(0,'Start Here'!$B$10-SUM($AJ192:$AS192)-SUMPRODUCT(($Z$3:$AI$3&lt;AD$3)*($Z192:$AI192-$AJ192:$AS192))))</f>
        <v>0</v>
      </c>
      <c r="K192" s="42" t="n">
        <f aca="false">AO192+MIN(AE192-AO192,MAX(0,'Start Here'!$B$10-SUM($AJ192:$AS192)-SUMPRODUCT(($Z$3:$AI$3&lt;AE$3)*($Z192:$AI192-$AJ192:$AS192))))</f>
        <v>0</v>
      </c>
      <c r="L192" s="42" t="n">
        <f aca="false">AP192+MIN(AF192-AP192,MAX(0,'Start Here'!$B$10-SUM($AJ192:$AS192)-SUMPRODUCT(($Z$3:$AI$3&lt;AF$3)*($Z192:$AI192-$AJ192:$AS192))))</f>
        <v>0</v>
      </c>
      <c r="M192" s="42" t="n">
        <f aca="false">AQ192+MIN(AG192-AQ192,MAX(0,'Start Here'!$B$10-SUM($AJ192:$AS192)-SUMPRODUCT(($Z$3:$AI$3&lt;AG$3)*($Z192:$AI192-$AJ192:$AS192))))</f>
        <v>0</v>
      </c>
      <c r="N192" s="42" t="n">
        <f aca="false">AR192+MIN(AH192-AR192,MAX(0,'Start Here'!$B$10-SUM($AJ192:$AS192)-SUMPRODUCT(($Z$3:$AI$3&lt;AH$3)*($Z192:$AI192-$AJ192:$AS192))))</f>
        <v>0</v>
      </c>
      <c r="O192" s="42" t="n">
        <f aca="false">AS192+MIN(AI192-AS192,MAX(0,'Start Here'!$B$10-SUM($AJ192:$AS192)-SUMPRODUCT(($Z$3:$AI$3&lt;AI$3)*($Z192:$AI192-$AJ192:$AS192))))</f>
        <v>0</v>
      </c>
      <c r="P192" s="42" t="n">
        <f aca="false">ROUND(Z192-F192,2)</f>
        <v>0</v>
      </c>
      <c r="Q192" s="42" t="n">
        <f aca="false">ROUND(AA192-G192,2)</f>
        <v>0</v>
      </c>
      <c r="R192" s="42" t="n">
        <f aca="false">ROUND(AB192-H192,2)</f>
        <v>0</v>
      </c>
      <c r="S192" s="42" t="n">
        <f aca="false">ROUND(AC192-I192,2)</f>
        <v>0</v>
      </c>
      <c r="T192" s="42" t="n">
        <f aca="false">ROUND(AD192-J192,2)</f>
        <v>0</v>
      </c>
      <c r="U192" s="42" t="n">
        <f aca="false">ROUND(AE192-K192,2)</f>
        <v>0</v>
      </c>
      <c r="V192" s="42" t="n">
        <f aca="false">ROUND(AF192-L192,2)</f>
        <v>0</v>
      </c>
      <c r="W192" s="42" t="n">
        <f aca="false">ROUND(AG192-M192,2)</f>
        <v>0</v>
      </c>
      <c r="X192" s="42" t="n">
        <f aca="false">ROUND(AH192-N192,2)</f>
        <v>0</v>
      </c>
      <c r="Y192" s="42" t="n">
        <f aca="false">ROUND(AI192-O192,2)</f>
        <v>0</v>
      </c>
      <c r="Z192" s="56" t="n">
        <f aca="false">ROUND(P191*(1+N(Debts!$D$5)/12),2)</f>
        <v>0</v>
      </c>
      <c r="AA192" s="56" t="n">
        <f aca="false">ROUND(Q191*(1+N(Debts!$D$6)/12),2)</f>
        <v>0</v>
      </c>
      <c r="AB192" s="56" t="n">
        <f aca="false">ROUND(R191*(1+N(Debts!$D$7)/12),2)</f>
        <v>0</v>
      </c>
      <c r="AC192" s="56" t="n">
        <f aca="false">ROUND(S191*(1+N(Debts!$D$8)/12),2)</f>
        <v>0</v>
      </c>
      <c r="AD192" s="56" t="n">
        <f aca="false">ROUND(T191*(1+N(Debts!$D$9)/12),2)</f>
        <v>0</v>
      </c>
      <c r="AE192" s="56" t="n">
        <f aca="false">ROUND(U191*(1+N(Debts!$D$10)/12),2)</f>
        <v>0</v>
      </c>
      <c r="AF192" s="56" t="n">
        <f aca="false">ROUND(V191*(1+N(Debts!$D$11)/12),2)</f>
        <v>0</v>
      </c>
      <c r="AG192" s="56" t="n">
        <f aca="false">ROUND(W191*(1+N(Debts!$D$12)/12),2)</f>
        <v>0</v>
      </c>
      <c r="AH192" s="56" t="n">
        <f aca="false">ROUND(X191*(1+N(Debts!$D$13)/12),2)</f>
        <v>0</v>
      </c>
      <c r="AI192" s="56" t="n">
        <f aca="false">ROUND(Y191*(1+N(Debts!$D$14)/12),2)</f>
        <v>0</v>
      </c>
      <c r="AJ192" s="56" t="n">
        <f aca="false">MIN(Z192,MAX(0,N(Debts!$E$5)))</f>
        <v>0</v>
      </c>
      <c r="AK192" s="56" t="n">
        <f aca="false">MIN(AA192,MAX(0,N(Debts!$E$6)))</f>
        <v>0</v>
      </c>
      <c r="AL192" s="56" t="n">
        <f aca="false">MIN(AB192,MAX(0,N(Debts!$E$7)))</f>
        <v>0</v>
      </c>
      <c r="AM192" s="56" t="n">
        <f aca="false">MIN(AC192,MAX(0,N(Debts!$E$8)))</f>
        <v>0</v>
      </c>
      <c r="AN192" s="56" t="n">
        <f aca="false">MIN(AD192,MAX(0,N(Debts!$E$9)))</f>
        <v>0</v>
      </c>
      <c r="AO192" s="56" t="n">
        <f aca="false">MIN(AE192,MAX(0,N(Debts!$E$10)))</f>
        <v>0</v>
      </c>
      <c r="AP192" s="56" t="n">
        <f aca="false">MIN(AF192,MAX(0,N(Debts!$E$11)))</f>
        <v>0</v>
      </c>
      <c r="AQ192" s="56" t="n">
        <f aca="false">MIN(AG192,MAX(0,N(Debts!$E$12)))</f>
        <v>0</v>
      </c>
      <c r="AR192" s="56" t="n">
        <f aca="false">MIN(AH192,MAX(0,N(Debts!$E$13)))</f>
        <v>0</v>
      </c>
      <c r="AS192" s="56" t="n">
        <f aca="false">MIN(AI192,MAX(0,N(Debts!$E$14)))</f>
        <v>0</v>
      </c>
    </row>
    <row r="193" customFormat="false" ht="15" hidden="false" customHeight="false" outlineLevel="0" collapsed="false">
      <c r="A193" s="53" t="n">
        <v>189</v>
      </c>
      <c r="B193" s="54" t="n">
        <f aca="false">EDATE('Start Here'!$B$8,188)</f>
        <v>52048</v>
      </c>
      <c r="C193" s="42" t="n">
        <f aca="false">SUM(F193:O193)</f>
        <v>0</v>
      </c>
      <c r="D193" s="42" t="n">
        <f aca="false">ROUND(SUM($Z193:$AI193)-SUM(P192:Y192),2)</f>
        <v>0</v>
      </c>
      <c r="E193" s="55" t="n">
        <f aca="false">SUM(P193:Y193)</f>
        <v>0</v>
      </c>
      <c r="F193" s="42" t="n">
        <f aca="false">AJ193+MIN(Z193-AJ193,MAX(0,'Start Here'!$B$10-SUM($AJ193:$AS193)-SUMPRODUCT(($Z$3:$AI$3&lt;Z$3)*($Z193:$AI193-$AJ193:$AS193))))</f>
        <v>0</v>
      </c>
      <c r="G193" s="42" t="n">
        <f aca="false">AK193+MIN(AA193-AK193,MAX(0,'Start Here'!$B$10-SUM($AJ193:$AS193)-SUMPRODUCT(($Z$3:$AI$3&lt;AA$3)*($Z193:$AI193-$AJ193:$AS193))))</f>
        <v>0</v>
      </c>
      <c r="H193" s="42" t="n">
        <f aca="false">AL193+MIN(AB193-AL193,MAX(0,'Start Here'!$B$10-SUM($AJ193:$AS193)-SUMPRODUCT(($Z$3:$AI$3&lt;AB$3)*($Z193:$AI193-$AJ193:$AS193))))</f>
        <v>0</v>
      </c>
      <c r="I193" s="42" t="n">
        <f aca="false">AM193+MIN(AC193-AM193,MAX(0,'Start Here'!$B$10-SUM($AJ193:$AS193)-SUMPRODUCT(($Z$3:$AI$3&lt;AC$3)*($Z193:$AI193-$AJ193:$AS193))))</f>
        <v>0</v>
      </c>
      <c r="J193" s="42" t="n">
        <f aca="false">AN193+MIN(AD193-AN193,MAX(0,'Start Here'!$B$10-SUM($AJ193:$AS193)-SUMPRODUCT(($Z$3:$AI$3&lt;AD$3)*($Z193:$AI193-$AJ193:$AS193))))</f>
        <v>0</v>
      </c>
      <c r="K193" s="42" t="n">
        <f aca="false">AO193+MIN(AE193-AO193,MAX(0,'Start Here'!$B$10-SUM($AJ193:$AS193)-SUMPRODUCT(($Z$3:$AI$3&lt;AE$3)*($Z193:$AI193-$AJ193:$AS193))))</f>
        <v>0</v>
      </c>
      <c r="L193" s="42" t="n">
        <f aca="false">AP193+MIN(AF193-AP193,MAX(0,'Start Here'!$B$10-SUM($AJ193:$AS193)-SUMPRODUCT(($Z$3:$AI$3&lt;AF$3)*($Z193:$AI193-$AJ193:$AS193))))</f>
        <v>0</v>
      </c>
      <c r="M193" s="42" t="n">
        <f aca="false">AQ193+MIN(AG193-AQ193,MAX(0,'Start Here'!$B$10-SUM($AJ193:$AS193)-SUMPRODUCT(($Z$3:$AI$3&lt;AG$3)*($Z193:$AI193-$AJ193:$AS193))))</f>
        <v>0</v>
      </c>
      <c r="N193" s="42" t="n">
        <f aca="false">AR193+MIN(AH193-AR193,MAX(0,'Start Here'!$B$10-SUM($AJ193:$AS193)-SUMPRODUCT(($Z$3:$AI$3&lt;AH$3)*($Z193:$AI193-$AJ193:$AS193))))</f>
        <v>0</v>
      </c>
      <c r="O193" s="42" t="n">
        <f aca="false">AS193+MIN(AI193-AS193,MAX(0,'Start Here'!$B$10-SUM($AJ193:$AS193)-SUMPRODUCT(($Z$3:$AI$3&lt;AI$3)*($Z193:$AI193-$AJ193:$AS193))))</f>
        <v>0</v>
      </c>
      <c r="P193" s="42" t="n">
        <f aca="false">ROUND(Z193-F193,2)</f>
        <v>0</v>
      </c>
      <c r="Q193" s="42" t="n">
        <f aca="false">ROUND(AA193-G193,2)</f>
        <v>0</v>
      </c>
      <c r="R193" s="42" t="n">
        <f aca="false">ROUND(AB193-H193,2)</f>
        <v>0</v>
      </c>
      <c r="S193" s="42" t="n">
        <f aca="false">ROUND(AC193-I193,2)</f>
        <v>0</v>
      </c>
      <c r="T193" s="42" t="n">
        <f aca="false">ROUND(AD193-J193,2)</f>
        <v>0</v>
      </c>
      <c r="U193" s="42" t="n">
        <f aca="false">ROUND(AE193-K193,2)</f>
        <v>0</v>
      </c>
      <c r="V193" s="42" t="n">
        <f aca="false">ROUND(AF193-L193,2)</f>
        <v>0</v>
      </c>
      <c r="W193" s="42" t="n">
        <f aca="false">ROUND(AG193-M193,2)</f>
        <v>0</v>
      </c>
      <c r="X193" s="42" t="n">
        <f aca="false">ROUND(AH193-N193,2)</f>
        <v>0</v>
      </c>
      <c r="Y193" s="42" t="n">
        <f aca="false">ROUND(AI193-O193,2)</f>
        <v>0</v>
      </c>
      <c r="Z193" s="56" t="n">
        <f aca="false">ROUND(P192*(1+N(Debts!$D$5)/12),2)</f>
        <v>0</v>
      </c>
      <c r="AA193" s="56" t="n">
        <f aca="false">ROUND(Q192*(1+N(Debts!$D$6)/12),2)</f>
        <v>0</v>
      </c>
      <c r="AB193" s="56" t="n">
        <f aca="false">ROUND(R192*(1+N(Debts!$D$7)/12),2)</f>
        <v>0</v>
      </c>
      <c r="AC193" s="56" t="n">
        <f aca="false">ROUND(S192*(1+N(Debts!$D$8)/12),2)</f>
        <v>0</v>
      </c>
      <c r="AD193" s="56" t="n">
        <f aca="false">ROUND(T192*(1+N(Debts!$D$9)/12),2)</f>
        <v>0</v>
      </c>
      <c r="AE193" s="56" t="n">
        <f aca="false">ROUND(U192*(1+N(Debts!$D$10)/12),2)</f>
        <v>0</v>
      </c>
      <c r="AF193" s="56" t="n">
        <f aca="false">ROUND(V192*(1+N(Debts!$D$11)/12),2)</f>
        <v>0</v>
      </c>
      <c r="AG193" s="56" t="n">
        <f aca="false">ROUND(W192*(1+N(Debts!$D$12)/12),2)</f>
        <v>0</v>
      </c>
      <c r="AH193" s="56" t="n">
        <f aca="false">ROUND(X192*(1+N(Debts!$D$13)/12),2)</f>
        <v>0</v>
      </c>
      <c r="AI193" s="56" t="n">
        <f aca="false">ROUND(Y192*(1+N(Debts!$D$14)/12),2)</f>
        <v>0</v>
      </c>
      <c r="AJ193" s="56" t="n">
        <f aca="false">MIN(Z193,MAX(0,N(Debts!$E$5)))</f>
        <v>0</v>
      </c>
      <c r="AK193" s="56" t="n">
        <f aca="false">MIN(AA193,MAX(0,N(Debts!$E$6)))</f>
        <v>0</v>
      </c>
      <c r="AL193" s="56" t="n">
        <f aca="false">MIN(AB193,MAX(0,N(Debts!$E$7)))</f>
        <v>0</v>
      </c>
      <c r="AM193" s="56" t="n">
        <f aca="false">MIN(AC193,MAX(0,N(Debts!$E$8)))</f>
        <v>0</v>
      </c>
      <c r="AN193" s="56" t="n">
        <f aca="false">MIN(AD193,MAX(0,N(Debts!$E$9)))</f>
        <v>0</v>
      </c>
      <c r="AO193" s="56" t="n">
        <f aca="false">MIN(AE193,MAX(0,N(Debts!$E$10)))</f>
        <v>0</v>
      </c>
      <c r="AP193" s="56" t="n">
        <f aca="false">MIN(AF193,MAX(0,N(Debts!$E$11)))</f>
        <v>0</v>
      </c>
      <c r="AQ193" s="56" t="n">
        <f aca="false">MIN(AG193,MAX(0,N(Debts!$E$12)))</f>
        <v>0</v>
      </c>
      <c r="AR193" s="56" t="n">
        <f aca="false">MIN(AH193,MAX(0,N(Debts!$E$13)))</f>
        <v>0</v>
      </c>
      <c r="AS193" s="56" t="n">
        <f aca="false">MIN(AI193,MAX(0,N(Debts!$E$14)))</f>
        <v>0</v>
      </c>
    </row>
    <row r="194" customFormat="false" ht="15" hidden="false" customHeight="false" outlineLevel="0" collapsed="false">
      <c r="A194" s="53" t="n">
        <v>190</v>
      </c>
      <c r="B194" s="54" t="n">
        <f aca="false">EDATE('Start Here'!$B$8,189)</f>
        <v>52079</v>
      </c>
      <c r="C194" s="42" t="n">
        <f aca="false">SUM(F194:O194)</f>
        <v>0</v>
      </c>
      <c r="D194" s="42" t="n">
        <f aca="false">ROUND(SUM($Z194:$AI194)-SUM(P193:Y193),2)</f>
        <v>0</v>
      </c>
      <c r="E194" s="55" t="n">
        <f aca="false">SUM(P194:Y194)</f>
        <v>0</v>
      </c>
      <c r="F194" s="42" t="n">
        <f aca="false">AJ194+MIN(Z194-AJ194,MAX(0,'Start Here'!$B$10-SUM($AJ194:$AS194)-SUMPRODUCT(($Z$3:$AI$3&lt;Z$3)*($Z194:$AI194-$AJ194:$AS194))))</f>
        <v>0</v>
      </c>
      <c r="G194" s="42" t="n">
        <f aca="false">AK194+MIN(AA194-AK194,MAX(0,'Start Here'!$B$10-SUM($AJ194:$AS194)-SUMPRODUCT(($Z$3:$AI$3&lt;AA$3)*($Z194:$AI194-$AJ194:$AS194))))</f>
        <v>0</v>
      </c>
      <c r="H194" s="42" t="n">
        <f aca="false">AL194+MIN(AB194-AL194,MAX(0,'Start Here'!$B$10-SUM($AJ194:$AS194)-SUMPRODUCT(($Z$3:$AI$3&lt;AB$3)*($Z194:$AI194-$AJ194:$AS194))))</f>
        <v>0</v>
      </c>
      <c r="I194" s="42" t="n">
        <f aca="false">AM194+MIN(AC194-AM194,MAX(0,'Start Here'!$B$10-SUM($AJ194:$AS194)-SUMPRODUCT(($Z$3:$AI$3&lt;AC$3)*($Z194:$AI194-$AJ194:$AS194))))</f>
        <v>0</v>
      </c>
      <c r="J194" s="42" t="n">
        <f aca="false">AN194+MIN(AD194-AN194,MAX(0,'Start Here'!$B$10-SUM($AJ194:$AS194)-SUMPRODUCT(($Z$3:$AI$3&lt;AD$3)*($Z194:$AI194-$AJ194:$AS194))))</f>
        <v>0</v>
      </c>
      <c r="K194" s="42" t="n">
        <f aca="false">AO194+MIN(AE194-AO194,MAX(0,'Start Here'!$B$10-SUM($AJ194:$AS194)-SUMPRODUCT(($Z$3:$AI$3&lt;AE$3)*($Z194:$AI194-$AJ194:$AS194))))</f>
        <v>0</v>
      </c>
      <c r="L194" s="42" t="n">
        <f aca="false">AP194+MIN(AF194-AP194,MAX(0,'Start Here'!$B$10-SUM($AJ194:$AS194)-SUMPRODUCT(($Z$3:$AI$3&lt;AF$3)*($Z194:$AI194-$AJ194:$AS194))))</f>
        <v>0</v>
      </c>
      <c r="M194" s="42" t="n">
        <f aca="false">AQ194+MIN(AG194-AQ194,MAX(0,'Start Here'!$B$10-SUM($AJ194:$AS194)-SUMPRODUCT(($Z$3:$AI$3&lt;AG$3)*($Z194:$AI194-$AJ194:$AS194))))</f>
        <v>0</v>
      </c>
      <c r="N194" s="42" t="n">
        <f aca="false">AR194+MIN(AH194-AR194,MAX(0,'Start Here'!$B$10-SUM($AJ194:$AS194)-SUMPRODUCT(($Z$3:$AI$3&lt;AH$3)*($Z194:$AI194-$AJ194:$AS194))))</f>
        <v>0</v>
      </c>
      <c r="O194" s="42" t="n">
        <f aca="false">AS194+MIN(AI194-AS194,MAX(0,'Start Here'!$B$10-SUM($AJ194:$AS194)-SUMPRODUCT(($Z$3:$AI$3&lt;AI$3)*($Z194:$AI194-$AJ194:$AS194))))</f>
        <v>0</v>
      </c>
      <c r="P194" s="42" t="n">
        <f aca="false">ROUND(Z194-F194,2)</f>
        <v>0</v>
      </c>
      <c r="Q194" s="42" t="n">
        <f aca="false">ROUND(AA194-G194,2)</f>
        <v>0</v>
      </c>
      <c r="R194" s="42" t="n">
        <f aca="false">ROUND(AB194-H194,2)</f>
        <v>0</v>
      </c>
      <c r="S194" s="42" t="n">
        <f aca="false">ROUND(AC194-I194,2)</f>
        <v>0</v>
      </c>
      <c r="T194" s="42" t="n">
        <f aca="false">ROUND(AD194-J194,2)</f>
        <v>0</v>
      </c>
      <c r="U194" s="42" t="n">
        <f aca="false">ROUND(AE194-K194,2)</f>
        <v>0</v>
      </c>
      <c r="V194" s="42" t="n">
        <f aca="false">ROUND(AF194-L194,2)</f>
        <v>0</v>
      </c>
      <c r="W194" s="42" t="n">
        <f aca="false">ROUND(AG194-M194,2)</f>
        <v>0</v>
      </c>
      <c r="X194" s="42" t="n">
        <f aca="false">ROUND(AH194-N194,2)</f>
        <v>0</v>
      </c>
      <c r="Y194" s="42" t="n">
        <f aca="false">ROUND(AI194-O194,2)</f>
        <v>0</v>
      </c>
      <c r="Z194" s="56" t="n">
        <f aca="false">ROUND(P193*(1+N(Debts!$D$5)/12),2)</f>
        <v>0</v>
      </c>
      <c r="AA194" s="56" t="n">
        <f aca="false">ROUND(Q193*(1+N(Debts!$D$6)/12),2)</f>
        <v>0</v>
      </c>
      <c r="AB194" s="56" t="n">
        <f aca="false">ROUND(R193*(1+N(Debts!$D$7)/12),2)</f>
        <v>0</v>
      </c>
      <c r="AC194" s="56" t="n">
        <f aca="false">ROUND(S193*(1+N(Debts!$D$8)/12),2)</f>
        <v>0</v>
      </c>
      <c r="AD194" s="56" t="n">
        <f aca="false">ROUND(T193*(1+N(Debts!$D$9)/12),2)</f>
        <v>0</v>
      </c>
      <c r="AE194" s="56" t="n">
        <f aca="false">ROUND(U193*(1+N(Debts!$D$10)/12),2)</f>
        <v>0</v>
      </c>
      <c r="AF194" s="56" t="n">
        <f aca="false">ROUND(V193*(1+N(Debts!$D$11)/12),2)</f>
        <v>0</v>
      </c>
      <c r="AG194" s="56" t="n">
        <f aca="false">ROUND(W193*(1+N(Debts!$D$12)/12),2)</f>
        <v>0</v>
      </c>
      <c r="AH194" s="56" t="n">
        <f aca="false">ROUND(X193*(1+N(Debts!$D$13)/12),2)</f>
        <v>0</v>
      </c>
      <c r="AI194" s="56" t="n">
        <f aca="false">ROUND(Y193*(1+N(Debts!$D$14)/12),2)</f>
        <v>0</v>
      </c>
      <c r="AJ194" s="56" t="n">
        <f aca="false">MIN(Z194,MAX(0,N(Debts!$E$5)))</f>
        <v>0</v>
      </c>
      <c r="AK194" s="56" t="n">
        <f aca="false">MIN(AA194,MAX(0,N(Debts!$E$6)))</f>
        <v>0</v>
      </c>
      <c r="AL194" s="56" t="n">
        <f aca="false">MIN(AB194,MAX(0,N(Debts!$E$7)))</f>
        <v>0</v>
      </c>
      <c r="AM194" s="56" t="n">
        <f aca="false">MIN(AC194,MAX(0,N(Debts!$E$8)))</f>
        <v>0</v>
      </c>
      <c r="AN194" s="56" t="n">
        <f aca="false">MIN(AD194,MAX(0,N(Debts!$E$9)))</f>
        <v>0</v>
      </c>
      <c r="AO194" s="56" t="n">
        <f aca="false">MIN(AE194,MAX(0,N(Debts!$E$10)))</f>
        <v>0</v>
      </c>
      <c r="AP194" s="56" t="n">
        <f aca="false">MIN(AF194,MAX(0,N(Debts!$E$11)))</f>
        <v>0</v>
      </c>
      <c r="AQ194" s="56" t="n">
        <f aca="false">MIN(AG194,MAX(0,N(Debts!$E$12)))</f>
        <v>0</v>
      </c>
      <c r="AR194" s="56" t="n">
        <f aca="false">MIN(AH194,MAX(0,N(Debts!$E$13)))</f>
        <v>0</v>
      </c>
      <c r="AS194" s="56" t="n">
        <f aca="false">MIN(AI194,MAX(0,N(Debts!$E$14)))</f>
        <v>0</v>
      </c>
    </row>
    <row r="195" customFormat="false" ht="15" hidden="false" customHeight="false" outlineLevel="0" collapsed="false">
      <c r="A195" s="53" t="n">
        <v>191</v>
      </c>
      <c r="B195" s="54" t="n">
        <f aca="false">EDATE('Start Here'!$B$8,190)</f>
        <v>52110</v>
      </c>
      <c r="C195" s="42" t="n">
        <f aca="false">SUM(F195:O195)</f>
        <v>0</v>
      </c>
      <c r="D195" s="42" t="n">
        <f aca="false">ROUND(SUM($Z195:$AI195)-SUM(P194:Y194),2)</f>
        <v>0</v>
      </c>
      <c r="E195" s="55" t="n">
        <f aca="false">SUM(P195:Y195)</f>
        <v>0</v>
      </c>
      <c r="F195" s="42" t="n">
        <f aca="false">AJ195+MIN(Z195-AJ195,MAX(0,'Start Here'!$B$10-SUM($AJ195:$AS195)-SUMPRODUCT(($Z$3:$AI$3&lt;Z$3)*($Z195:$AI195-$AJ195:$AS195))))</f>
        <v>0</v>
      </c>
      <c r="G195" s="42" t="n">
        <f aca="false">AK195+MIN(AA195-AK195,MAX(0,'Start Here'!$B$10-SUM($AJ195:$AS195)-SUMPRODUCT(($Z$3:$AI$3&lt;AA$3)*($Z195:$AI195-$AJ195:$AS195))))</f>
        <v>0</v>
      </c>
      <c r="H195" s="42" t="n">
        <f aca="false">AL195+MIN(AB195-AL195,MAX(0,'Start Here'!$B$10-SUM($AJ195:$AS195)-SUMPRODUCT(($Z$3:$AI$3&lt;AB$3)*($Z195:$AI195-$AJ195:$AS195))))</f>
        <v>0</v>
      </c>
      <c r="I195" s="42" t="n">
        <f aca="false">AM195+MIN(AC195-AM195,MAX(0,'Start Here'!$B$10-SUM($AJ195:$AS195)-SUMPRODUCT(($Z$3:$AI$3&lt;AC$3)*($Z195:$AI195-$AJ195:$AS195))))</f>
        <v>0</v>
      </c>
      <c r="J195" s="42" t="n">
        <f aca="false">AN195+MIN(AD195-AN195,MAX(0,'Start Here'!$B$10-SUM($AJ195:$AS195)-SUMPRODUCT(($Z$3:$AI$3&lt;AD$3)*($Z195:$AI195-$AJ195:$AS195))))</f>
        <v>0</v>
      </c>
      <c r="K195" s="42" t="n">
        <f aca="false">AO195+MIN(AE195-AO195,MAX(0,'Start Here'!$B$10-SUM($AJ195:$AS195)-SUMPRODUCT(($Z$3:$AI$3&lt;AE$3)*($Z195:$AI195-$AJ195:$AS195))))</f>
        <v>0</v>
      </c>
      <c r="L195" s="42" t="n">
        <f aca="false">AP195+MIN(AF195-AP195,MAX(0,'Start Here'!$B$10-SUM($AJ195:$AS195)-SUMPRODUCT(($Z$3:$AI$3&lt;AF$3)*($Z195:$AI195-$AJ195:$AS195))))</f>
        <v>0</v>
      </c>
      <c r="M195" s="42" t="n">
        <f aca="false">AQ195+MIN(AG195-AQ195,MAX(0,'Start Here'!$B$10-SUM($AJ195:$AS195)-SUMPRODUCT(($Z$3:$AI$3&lt;AG$3)*($Z195:$AI195-$AJ195:$AS195))))</f>
        <v>0</v>
      </c>
      <c r="N195" s="42" t="n">
        <f aca="false">AR195+MIN(AH195-AR195,MAX(0,'Start Here'!$B$10-SUM($AJ195:$AS195)-SUMPRODUCT(($Z$3:$AI$3&lt;AH$3)*($Z195:$AI195-$AJ195:$AS195))))</f>
        <v>0</v>
      </c>
      <c r="O195" s="42" t="n">
        <f aca="false">AS195+MIN(AI195-AS195,MAX(0,'Start Here'!$B$10-SUM($AJ195:$AS195)-SUMPRODUCT(($Z$3:$AI$3&lt;AI$3)*($Z195:$AI195-$AJ195:$AS195))))</f>
        <v>0</v>
      </c>
      <c r="P195" s="42" t="n">
        <f aca="false">ROUND(Z195-F195,2)</f>
        <v>0</v>
      </c>
      <c r="Q195" s="42" t="n">
        <f aca="false">ROUND(AA195-G195,2)</f>
        <v>0</v>
      </c>
      <c r="R195" s="42" t="n">
        <f aca="false">ROUND(AB195-H195,2)</f>
        <v>0</v>
      </c>
      <c r="S195" s="42" t="n">
        <f aca="false">ROUND(AC195-I195,2)</f>
        <v>0</v>
      </c>
      <c r="T195" s="42" t="n">
        <f aca="false">ROUND(AD195-J195,2)</f>
        <v>0</v>
      </c>
      <c r="U195" s="42" t="n">
        <f aca="false">ROUND(AE195-K195,2)</f>
        <v>0</v>
      </c>
      <c r="V195" s="42" t="n">
        <f aca="false">ROUND(AF195-L195,2)</f>
        <v>0</v>
      </c>
      <c r="W195" s="42" t="n">
        <f aca="false">ROUND(AG195-M195,2)</f>
        <v>0</v>
      </c>
      <c r="X195" s="42" t="n">
        <f aca="false">ROUND(AH195-N195,2)</f>
        <v>0</v>
      </c>
      <c r="Y195" s="42" t="n">
        <f aca="false">ROUND(AI195-O195,2)</f>
        <v>0</v>
      </c>
      <c r="Z195" s="56" t="n">
        <f aca="false">ROUND(P194*(1+N(Debts!$D$5)/12),2)</f>
        <v>0</v>
      </c>
      <c r="AA195" s="56" t="n">
        <f aca="false">ROUND(Q194*(1+N(Debts!$D$6)/12),2)</f>
        <v>0</v>
      </c>
      <c r="AB195" s="56" t="n">
        <f aca="false">ROUND(R194*(1+N(Debts!$D$7)/12),2)</f>
        <v>0</v>
      </c>
      <c r="AC195" s="56" t="n">
        <f aca="false">ROUND(S194*(1+N(Debts!$D$8)/12),2)</f>
        <v>0</v>
      </c>
      <c r="AD195" s="56" t="n">
        <f aca="false">ROUND(T194*(1+N(Debts!$D$9)/12),2)</f>
        <v>0</v>
      </c>
      <c r="AE195" s="56" t="n">
        <f aca="false">ROUND(U194*(1+N(Debts!$D$10)/12),2)</f>
        <v>0</v>
      </c>
      <c r="AF195" s="56" t="n">
        <f aca="false">ROUND(V194*(1+N(Debts!$D$11)/12),2)</f>
        <v>0</v>
      </c>
      <c r="AG195" s="56" t="n">
        <f aca="false">ROUND(W194*(1+N(Debts!$D$12)/12),2)</f>
        <v>0</v>
      </c>
      <c r="AH195" s="56" t="n">
        <f aca="false">ROUND(X194*(1+N(Debts!$D$13)/12),2)</f>
        <v>0</v>
      </c>
      <c r="AI195" s="56" t="n">
        <f aca="false">ROUND(Y194*(1+N(Debts!$D$14)/12),2)</f>
        <v>0</v>
      </c>
      <c r="AJ195" s="56" t="n">
        <f aca="false">MIN(Z195,MAX(0,N(Debts!$E$5)))</f>
        <v>0</v>
      </c>
      <c r="AK195" s="56" t="n">
        <f aca="false">MIN(AA195,MAX(0,N(Debts!$E$6)))</f>
        <v>0</v>
      </c>
      <c r="AL195" s="56" t="n">
        <f aca="false">MIN(AB195,MAX(0,N(Debts!$E$7)))</f>
        <v>0</v>
      </c>
      <c r="AM195" s="56" t="n">
        <f aca="false">MIN(AC195,MAX(0,N(Debts!$E$8)))</f>
        <v>0</v>
      </c>
      <c r="AN195" s="56" t="n">
        <f aca="false">MIN(AD195,MAX(0,N(Debts!$E$9)))</f>
        <v>0</v>
      </c>
      <c r="AO195" s="56" t="n">
        <f aca="false">MIN(AE195,MAX(0,N(Debts!$E$10)))</f>
        <v>0</v>
      </c>
      <c r="AP195" s="56" t="n">
        <f aca="false">MIN(AF195,MAX(0,N(Debts!$E$11)))</f>
        <v>0</v>
      </c>
      <c r="AQ195" s="56" t="n">
        <f aca="false">MIN(AG195,MAX(0,N(Debts!$E$12)))</f>
        <v>0</v>
      </c>
      <c r="AR195" s="56" t="n">
        <f aca="false">MIN(AH195,MAX(0,N(Debts!$E$13)))</f>
        <v>0</v>
      </c>
      <c r="AS195" s="56" t="n">
        <f aca="false">MIN(AI195,MAX(0,N(Debts!$E$14)))</f>
        <v>0</v>
      </c>
    </row>
    <row r="196" customFormat="false" ht="15" hidden="false" customHeight="false" outlineLevel="0" collapsed="false">
      <c r="A196" s="53" t="n">
        <v>192</v>
      </c>
      <c r="B196" s="54" t="n">
        <f aca="false">EDATE('Start Here'!$B$8,191)</f>
        <v>52140</v>
      </c>
      <c r="C196" s="42" t="n">
        <f aca="false">SUM(F196:O196)</f>
        <v>0</v>
      </c>
      <c r="D196" s="42" t="n">
        <f aca="false">ROUND(SUM($Z196:$AI196)-SUM(P195:Y195),2)</f>
        <v>0</v>
      </c>
      <c r="E196" s="55" t="n">
        <f aca="false">SUM(P196:Y196)</f>
        <v>0</v>
      </c>
      <c r="F196" s="42" t="n">
        <f aca="false">AJ196+MIN(Z196-AJ196,MAX(0,'Start Here'!$B$10-SUM($AJ196:$AS196)-SUMPRODUCT(($Z$3:$AI$3&lt;Z$3)*($Z196:$AI196-$AJ196:$AS196))))</f>
        <v>0</v>
      </c>
      <c r="G196" s="42" t="n">
        <f aca="false">AK196+MIN(AA196-AK196,MAX(0,'Start Here'!$B$10-SUM($AJ196:$AS196)-SUMPRODUCT(($Z$3:$AI$3&lt;AA$3)*($Z196:$AI196-$AJ196:$AS196))))</f>
        <v>0</v>
      </c>
      <c r="H196" s="42" t="n">
        <f aca="false">AL196+MIN(AB196-AL196,MAX(0,'Start Here'!$B$10-SUM($AJ196:$AS196)-SUMPRODUCT(($Z$3:$AI$3&lt;AB$3)*($Z196:$AI196-$AJ196:$AS196))))</f>
        <v>0</v>
      </c>
      <c r="I196" s="42" t="n">
        <f aca="false">AM196+MIN(AC196-AM196,MAX(0,'Start Here'!$B$10-SUM($AJ196:$AS196)-SUMPRODUCT(($Z$3:$AI$3&lt;AC$3)*($Z196:$AI196-$AJ196:$AS196))))</f>
        <v>0</v>
      </c>
      <c r="J196" s="42" t="n">
        <f aca="false">AN196+MIN(AD196-AN196,MAX(0,'Start Here'!$B$10-SUM($AJ196:$AS196)-SUMPRODUCT(($Z$3:$AI$3&lt;AD$3)*($Z196:$AI196-$AJ196:$AS196))))</f>
        <v>0</v>
      </c>
      <c r="K196" s="42" t="n">
        <f aca="false">AO196+MIN(AE196-AO196,MAX(0,'Start Here'!$B$10-SUM($AJ196:$AS196)-SUMPRODUCT(($Z$3:$AI$3&lt;AE$3)*($Z196:$AI196-$AJ196:$AS196))))</f>
        <v>0</v>
      </c>
      <c r="L196" s="42" t="n">
        <f aca="false">AP196+MIN(AF196-AP196,MAX(0,'Start Here'!$B$10-SUM($AJ196:$AS196)-SUMPRODUCT(($Z$3:$AI$3&lt;AF$3)*($Z196:$AI196-$AJ196:$AS196))))</f>
        <v>0</v>
      </c>
      <c r="M196" s="42" t="n">
        <f aca="false">AQ196+MIN(AG196-AQ196,MAX(0,'Start Here'!$B$10-SUM($AJ196:$AS196)-SUMPRODUCT(($Z$3:$AI$3&lt;AG$3)*($Z196:$AI196-$AJ196:$AS196))))</f>
        <v>0</v>
      </c>
      <c r="N196" s="42" t="n">
        <f aca="false">AR196+MIN(AH196-AR196,MAX(0,'Start Here'!$B$10-SUM($AJ196:$AS196)-SUMPRODUCT(($Z$3:$AI$3&lt;AH$3)*($Z196:$AI196-$AJ196:$AS196))))</f>
        <v>0</v>
      </c>
      <c r="O196" s="42" t="n">
        <f aca="false">AS196+MIN(AI196-AS196,MAX(0,'Start Here'!$B$10-SUM($AJ196:$AS196)-SUMPRODUCT(($Z$3:$AI$3&lt;AI$3)*($Z196:$AI196-$AJ196:$AS196))))</f>
        <v>0</v>
      </c>
      <c r="P196" s="42" t="n">
        <f aca="false">ROUND(Z196-F196,2)</f>
        <v>0</v>
      </c>
      <c r="Q196" s="42" t="n">
        <f aca="false">ROUND(AA196-G196,2)</f>
        <v>0</v>
      </c>
      <c r="R196" s="42" t="n">
        <f aca="false">ROUND(AB196-H196,2)</f>
        <v>0</v>
      </c>
      <c r="S196" s="42" t="n">
        <f aca="false">ROUND(AC196-I196,2)</f>
        <v>0</v>
      </c>
      <c r="T196" s="42" t="n">
        <f aca="false">ROUND(AD196-J196,2)</f>
        <v>0</v>
      </c>
      <c r="U196" s="42" t="n">
        <f aca="false">ROUND(AE196-K196,2)</f>
        <v>0</v>
      </c>
      <c r="V196" s="42" t="n">
        <f aca="false">ROUND(AF196-L196,2)</f>
        <v>0</v>
      </c>
      <c r="W196" s="42" t="n">
        <f aca="false">ROUND(AG196-M196,2)</f>
        <v>0</v>
      </c>
      <c r="X196" s="42" t="n">
        <f aca="false">ROUND(AH196-N196,2)</f>
        <v>0</v>
      </c>
      <c r="Y196" s="42" t="n">
        <f aca="false">ROUND(AI196-O196,2)</f>
        <v>0</v>
      </c>
      <c r="Z196" s="56" t="n">
        <f aca="false">ROUND(P195*(1+N(Debts!$D$5)/12),2)</f>
        <v>0</v>
      </c>
      <c r="AA196" s="56" t="n">
        <f aca="false">ROUND(Q195*(1+N(Debts!$D$6)/12),2)</f>
        <v>0</v>
      </c>
      <c r="AB196" s="56" t="n">
        <f aca="false">ROUND(R195*(1+N(Debts!$D$7)/12),2)</f>
        <v>0</v>
      </c>
      <c r="AC196" s="56" t="n">
        <f aca="false">ROUND(S195*(1+N(Debts!$D$8)/12),2)</f>
        <v>0</v>
      </c>
      <c r="AD196" s="56" t="n">
        <f aca="false">ROUND(T195*(1+N(Debts!$D$9)/12),2)</f>
        <v>0</v>
      </c>
      <c r="AE196" s="56" t="n">
        <f aca="false">ROUND(U195*(1+N(Debts!$D$10)/12),2)</f>
        <v>0</v>
      </c>
      <c r="AF196" s="56" t="n">
        <f aca="false">ROUND(V195*(1+N(Debts!$D$11)/12),2)</f>
        <v>0</v>
      </c>
      <c r="AG196" s="56" t="n">
        <f aca="false">ROUND(W195*(1+N(Debts!$D$12)/12),2)</f>
        <v>0</v>
      </c>
      <c r="AH196" s="56" t="n">
        <f aca="false">ROUND(X195*(1+N(Debts!$D$13)/12),2)</f>
        <v>0</v>
      </c>
      <c r="AI196" s="56" t="n">
        <f aca="false">ROUND(Y195*(1+N(Debts!$D$14)/12),2)</f>
        <v>0</v>
      </c>
      <c r="AJ196" s="56" t="n">
        <f aca="false">MIN(Z196,MAX(0,N(Debts!$E$5)))</f>
        <v>0</v>
      </c>
      <c r="AK196" s="56" t="n">
        <f aca="false">MIN(AA196,MAX(0,N(Debts!$E$6)))</f>
        <v>0</v>
      </c>
      <c r="AL196" s="56" t="n">
        <f aca="false">MIN(AB196,MAX(0,N(Debts!$E$7)))</f>
        <v>0</v>
      </c>
      <c r="AM196" s="56" t="n">
        <f aca="false">MIN(AC196,MAX(0,N(Debts!$E$8)))</f>
        <v>0</v>
      </c>
      <c r="AN196" s="56" t="n">
        <f aca="false">MIN(AD196,MAX(0,N(Debts!$E$9)))</f>
        <v>0</v>
      </c>
      <c r="AO196" s="56" t="n">
        <f aca="false">MIN(AE196,MAX(0,N(Debts!$E$10)))</f>
        <v>0</v>
      </c>
      <c r="AP196" s="56" t="n">
        <f aca="false">MIN(AF196,MAX(0,N(Debts!$E$11)))</f>
        <v>0</v>
      </c>
      <c r="AQ196" s="56" t="n">
        <f aca="false">MIN(AG196,MAX(0,N(Debts!$E$12)))</f>
        <v>0</v>
      </c>
      <c r="AR196" s="56" t="n">
        <f aca="false">MIN(AH196,MAX(0,N(Debts!$E$13)))</f>
        <v>0</v>
      </c>
      <c r="AS196" s="56" t="n">
        <f aca="false">MIN(AI196,MAX(0,N(Debts!$E$14)))</f>
        <v>0</v>
      </c>
    </row>
    <row r="197" customFormat="false" ht="15" hidden="false" customHeight="false" outlineLevel="0" collapsed="false">
      <c r="A197" s="53" t="n">
        <v>193</v>
      </c>
      <c r="B197" s="54" t="n">
        <f aca="false">EDATE('Start Here'!$B$8,192)</f>
        <v>52171</v>
      </c>
      <c r="C197" s="42" t="n">
        <f aca="false">SUM(F197:O197)</f>
        <v>0</v>
      </c>
      <c r="D197" s="42" t="n">
        <f aca="false">ROUND(SUM($Z197:$AI197)-SUM(P196:Y196),2)</f>
        <v>0</v>
      </c>
      <c r="E197" s="55" t="n">
        <f aca="false">SUM(P197:Y197)</f>
        <v>0</v>
      </c>
      <c r="F197" s="42" t="n">
        <f aca="false">AJ197+MIN(Z197-AJ197,MAX(0,'Start Here'!$B$10-SUM($AJ197:$AS197)-SUMPRODUCT(($Z$3:$AI$3&lt;Z$3)*($Z197:$AI197-$AJ197:$AS197))))</f>
        <v>0</v>
      </c>
      <c r="G197" s="42" t="n">
        <f aca="false">AK197+MIN(AA197-AK197,MAX(0,'Start Here'!$B$10-SUM($AJ197:$AS197)-SUMPRODUCT(($Z$3:$AI$3&lt;AA$3)*($Z197:$AI197-$AJ197:$AS197))))</f>
        <v>0</v>
      </c>
      <c r="H197" s="42" t="n">
        <f aca="false">AL197+MIN(AB197-AL197,MAX(0,'Start Here'!$B$10-SUM($AJ197:$AS197)-SUMPRODUCT(($Z$3:$AI$3&lt;AB$3)*($Z197:$AI197-$AJ197:$AS197))))</f>
        <v>0</v>
      </c>
      <c r="I197" s="42" t="n">
        <f aca="false">AM197+MIN(AC197-AM197,MAX(0,'Start Here'!$B$10-SUM($AJ197:$AS197)-SUMPRODUCT(($Z$3:$AI$3&lt;AC$3)*($Z197:$AI197-$AJ197:$AS197))))</f>
        <v>0</v>
      </c>
      <c r="J197" s="42" t="n">
        <f aca="false">AN197+MIN(AD197-AN197,MAX(0,'Start Here'!$B$10-SUM($AJ197:$AS197)-SUMPRODUCT(($Z$3:$AI$3&lt;AD$3)*($Z197:$AI197-$AJ197:$AS197))))</f>
        <v>0</v>
      </c>
      <c r="K197" s="42" t="n">
        <f aca="false">AO197+MIN(AE197-AO197,MAX(0,'Start Here'!$B$10-SUM($AJ197:$AS197)-SUMPRODUCT(($Z$3:$AI$3&lt;AE$3)*($Z197:$AI197-$AJ197:$AS197))))</f>
        <v>0</v>
      </c>
      <c r="L197" s="42" t="n">
        <f aca="false">AP197+MIN(AF197-AP197,MAX(0,'Start Here'!$B$10-SUM($AJ197:$AS197)-SUMPRODUCT(($Z$3:$AI$3&lt;AF$3)*($Z197:$AI197-$AJ197:$AS197))))</f>
        <v>0</v>
      </c>
      <c r="M197" s="42" t="n">
        <f aca="false">AQ197+MIN(AG197-AQ197,MAX(0,'Start Here'!$B$10-SUM($AJ197:$AS197)-SUMPRODUCT(($Z$3:$AI$3&lt;AG$3)*($Z197:$AI197-$AJ197:$AS197))))</f>
        <v>0</v>
      </c>
      <c r="N197" s="42" t="n">
        <f aca="false">AR197+MIN(AH197-AR197,MAX(0,'Start Here'!$B$10-SUM($AJ197:$AS197)-SUMPRODUCT(($Z$3:$AI$3&lt;AH$3)*($Z197:$AI197-$AJ197:$AS197))))</f>
        <v>0</v>
      </c>
      <c r="O197" s="42" t="n">
        <f aca="false">AS197+MIN(AI197-AS197,MAX(0,'Start Here'!$B$10-SUM($AJ197:$AS197)-SUMPRODUCT(($Z$3:$AI$3&lt;AI$3)*($Z197:$AI197-$AJ197:$AS197))))</f>
        <v>0</v>
      </c>
      <c r="P197" s="42" t="n">
        <f aca="false">ROUND(Z197-F197,2)</f>
        <v>0</v>
      </c>
      <c r="Q197" s="42" t="n">
        <f aca="false">ROUND(AA197-G197,2)</f>
        <v>0</v>
      </c>
      <c r="R197" s="42" t="n">
        <f aca="false">ROUND(AB197-H197,2)</f>
        <v>0</v>
      </c>
      <c r="S197" s="42" t="n">
        <f aca="false">ROUND(AC197-I197,2)</f>
        <v>0</v>
      </c>
      <c r="T197" s="42" t="n">
        <f aca="false">ROUND(AD197-J197,2)</f>
        <v>0</v>
      </c>
      <c r="U197" s="42" t="n">
        <f aca="false">ROUND(AE197-K197,2)</f>
        <v>0</v>
      </c>
      <c r="V197" s="42" t="n">
        <f aca="false">ROUND(AF197-L197,2)</f>
        <v>0</v>
      </c>
      <c r="W197" s="42" t="n">
        <f aca="false">ROUND(AG197-M197,2)</f>
        <v>0</v>
      </c>
      <c r="X197" s="42" t="n">
        <f aca="false">ROUND(AH197-N197,2)</f>
        <v>0</v>
      </c>
      <c r="Y197" s="42" t="n">
        <f aca="false">ROUND(AI197-O197,2)</f>
        <v>0</v>
      </c>
      <c r="Z197" s="56" t="n">
        <f aca="false">ROUND(P196*(1+N(Debts!$D$5)/12),2)</f>
        <v>0</v>
      </c>
      <c r="AA197" s="56" t="n">
        <f aca="false">ROUND(Q196*(1+N(Debts!$D$6)/12),2)</f>
        <v>0</v>
      </c>
      <c r="AB197" s="56" t="n">
        <f aca="false">ROUND(R196*(1+N(Debts!$D$7)/12),2)</f>
        <v>0</v>
      </c>
      <c r="AC197" s="56" t="n">
        <f aca="false">ROUND(S196*(1+N(Debts!$D$8)/12),2)</f>
        <v>0</v>
      </c>
      <c r="AD197" s="56" t="n">
        <f aca="false">ROUND(T196*(1+N(Debts!$D$9)/12),2)</f>
        <v>0</v>
      </c>
      <c r="AE197" s="56" t="n">
        <f aca="false">ROUND(U196*(1+N(Debts!$D$10)/12),2)</f>
        <v>0</v>
      </c>
      <c r="AF197" s="56" t="n">
        <f aca="false">ROUND(V196*(1+N(Debts!$D$11)/12),2)</f>
        <v>0</v>
      </c>
      <c r="AG197" s="56" t="n">
        <f aca="false">ROUND(W196*(1+N(Debts!$D$12)/12),2)</f>
        <v>0</v>
      </c>
      <c r="AH197" s="56" t="n">
        <f aca="false">ROUND(X196*(1+N(Debts!$D$13)/12),2)</f>
        <v>0</v>
      </c>
      <c r="AI197" s="56" t="n">
        <f aca="false">ROUND(Y196*(1+N(Debts!$D$14)/12),2)</f>
        <v>0</v>
      </c>
      <c r="AJ197" s="56" t="n">
        <f aca="false">MIN(Z197,MAX(0,N(Debts!$E$5)))</f>
        <v>0</v>
      </c>
      <c r="AK197" s="56" t="n">
        <f aca="false">MIN(AA197,MAX(0,N(Debts!$E$6)))</f>
        <v>0</v>
      </c>
      <c r="AL197" s="56" t="n">
        <f aca="false">MIN(AB197,MAX(0,N(Debts!$E$7)))</f>
        <v>0</v>
      </c>
      <c r="AM197" s="56" t="n">
        <f aca="false">MIN(AC197,MAX(0,N(Debts!$E$8)))</f>
        <v>0</v>
      </c>
      <c r="AN197" s="56" t="n">
        <f aca="false">MIN(AD197,MAX(0,N(Debts!$E$9)))</f>
        <v>0</v>
      </c>
      <c r="AO197" s="56" t="n">
        <f aca="false">MIN(AE197,MAX(0,N(Debts!$E$10)))</f>
        <v>0</v>
      </c>
      <c r="AP197" s="56" t="n">
        <f aca="false">MIN(AF197,MAX(0,N(Debts!$E$11)))</f>
        <v>0</v>
      </c>
      <c r="AQ197" s="56" t="n">
        <f aca="false">MIN(AG197,MAX(0,N(Debts!$E$12)))</f>
        <v>0</v>
      </c>
      <c r="AR197" s="56" t="n">
        <f aca="false">MIN(AH197,MAX(0,N(Debts!$E$13)))</f>
        <v>0</v>
      </c>
      <c r="AS197" s="56" t="n">
        <f aca="false">MIN(AI197,MAX(0,N(Debts!$E$14)))</f>
        <v>0</v>
      </c>
    </row>
    <row r="198" customFormat="false" ht="15" hidden="false" customHeight="false" outlineLevel="0" collapsed="false">
      <c r="A198" s="53" t="n">
        <v>194</v>
      </c>
      <c r="B198" s="54" t="n">
        <f aca="false">EDATE('Start Here'!$B$8,193)</f>
        <v>52201</v>
      </c>
      <c r="C198" s="42" t="n">
        <f aca="false">SUM(F198:O198)</f>
        <v>0</v>
      </c>
      <c r="D198" s="42" t="n">
        <f aca="false">ROUND(SUM($Z198:$AI198)-SUM(P197:Y197),2)</f>
        <v>0</v>
      </c>
      <c r="E198" s="55" t="n">
        <f aca="false">SUM(P198:Y198)</f>
        <v>0</v>
      </c>
      <c r="F198" s="42" t="n">
        <f aca="false">AJ198+MIN(Z198-AJ198,MAX(0,'Start Here'!$B$10-SUM($AJ198:$AS198)-SUMPRODUCT(($Z$3:$AI$3&lt;Z$3)*($Z198:$AI198-$AJ198:$AS198))))</f>
        <v>0</v>
      </c>
      <c r="G198" s="42" t="n">
        <f aca="false">AK198+MIN(AA198-AK198,MAX(0,'Start Here'!$B$10-SUM($AJ198:$AS198)-SUMPRODUCT(($Z$3:$AI$3&lt;AA$3)*($Z198:$AI198-$AJ198:$AS198))))</f>
        <v>0</v>
      </c>
      <c r="H198" s="42" t="n">
        <f aca="false">AL198+MIN(AB198-AL198,MAX(0,'Start Here'!$B$10-SUM($AJ198:$AS198)-SUMPRODUCT(($Z$3:$AI$3&lt;AB$3)*($Z198:$AI198-$AJ198:$AS198))))</f>
        <v>0</v>
      </c>
      <c r="I198" s="42" t="n">
        <f aca="false">AM198+MIN(AC198-AM198,MAX(0,'Start Here'!$B$10-SUM($AJ198:$AS198)-SUMPRODUCT(($Z$3:$AI$3&lt;AC$3)*($Z198:$AI198-$AJ198:$AS198))))</f>
        <v>0</v>
      </c>
      <c r="J198" s="42" t="n">
        <f aca="false">AN198+MIN(AD198-AN198,MAX(0,'Start Here'!$B$10-SUM($AJ198:$AS198)-SUMPRODUCT(($Z$3:$AI$3&lt;AD$3)*($Z198:$AI198-$AJ198:$AS198))))</f>
        <v>0</v>
      </c>
      <c r="K198" s="42" t="n">
        <f aca="false">AO198+MIN(AE198-AO198,MAX(0,'Start Here'!$B$10-SUM($AJ198:$AS198)-SUMPRODUCT(($Z$3:$AI$3&lt;AE$3)*($Z198:$AI198-$AJ198:$AS198))))</f>
        <v>0</v>
      </c>
      <c r="L198" s="42" t="n">
        <f aca="false">AP198+MIN(AF198-AP198,MAX(0,'Start Here'!$B$10-SUM($AJ198:$AS198)-SUMPRODUCT(($Z$3:$AI$3&lt;AF$3)*($Z198:$AI198-$AJ198:$AS198))))</f>
        <v>0</v>
      </c>
      <c r="M198" s="42" t="n">
        <f aca="false">AQ198+MIN(AG198-AQ198,MAX(0,'Start Here'!$B$10-SUM($AJ198:$AS198)-SUMPRODUCT(($Z$3:$AI$3&lt;AG$3)*($Z198:$AI198-$AJ198:$AS198))))</f>
        <v>0</v>
      </c>
      <c r="N198" s="42" t="n">
        <f aca="false">AR198+MIN(AH198-AR198,MAX(0,'Start Here'!$B$10-SUM($AJ198:$AS198)-SUMPRODUCT(($Z$3:$AI$3&lt;AH$3)*($Z198:$AI198-$AJ198:$AS198))))</f>
        <v>0</v>
      </c>
      <c r="O198" s="42" t="n">
        <f aca="false">AS198+MIN(AI198-AS198,MAX(0,'Start Here'!$B$10-SUM($AJ198:$AS198)-SUMPRODUCT(($Z$3:$AI$3&lt;AI$3)*($Z198:$AI198-$AJ198:$AS198))))</f>
        <v>0</v>
      </c>
      <c r="P198" s="42" t="n">
        <f aca="false">ROUND(Z198-F198,2)</f>
        <v>0</v>
      </c>
      <c r="Q198" s="42" t="n">
        <f aca="false">ROUND(AA198-G198,2)</f>
        <v>0</v>
      </c>
      <c r="R198" s="42" t="n">
        <f aca="false">ROUND(AB198-H198,2)</f>
        <v>0</v>
      </c>
      <c r="S198" s="42" t="n">
        <f aca="false">ROUND(AC198-I198,2)</f>
        <v>0</v>
      </c>
      <c r="T198" s="42" t="n">
        <f aca="false">ROUND(AD198-J198,2)</f>
        <v>0</v>
      </c>
      <c r="U198" s="42" t="n">
        <f aca="false">ROUND(AE198-K198,2)</f>
        <v>0</v>
      </c>
      <c r="V198" s="42" t="n">
        <f aca="false">ROUND(AF198-L198,2)</f>
        <v>0</v>
      </c>
      <c r="W198" s="42" t="n">
        <f aca="false">ROUND(AG198-M198,2)</f>
        <v>0</v>
      </c>
      <c r="X198" s="42" t="n">
        <f aca="false">ROUND(AH198-N198,2)</f>
        <v>0</v>
      </c>
      <c r="Y198" s="42" t="n">
        <f aca="false">ROUND(AI198-O198,2)</f>
        <v>0</v>
      </c>
      <c r="Z198" s="56" t="n">
        <f aca="false">ROUND(P197*(1+N(Debts!$D$5)/12),2)</f>
        <v>0</v>
      </c>
      <c r="AA198" s="56" t="n">
        <f aca="false">ROUND(Q197*(1+N(Debts!$D$6)/12),2)</f>
        <v>0</v>
      </c>
      <c r="AB198" s="56" t="n">
        <f aca="false">ROUND(R197*(1+N(Debts!$D$7)/12),2)</f>
        <v>0</v>
      </c>
      <c r="AC198" s="56" t="n">
        <f aca="false">ROUND(S197*(1+N(Debts!$D$8)/12),2)</f>
        <v>0</v>
      </c>
      <c r="AD198" s="56" t="n">
        <f aca="false">ROUND(T197*(1+N(Debts!$D$9)/12),2)</f>
        <v>0</v>
      </c>
      <c r="AE198" s="56" t="n">
        <f aca="false">ROUND(U197*(1+N(Debts!$D$10)/12),2)</f>
        <v>0</v>
      </c>
      <c r="AF198" s="56" t="n">
        <f aca="false">ROUND(V197*(1+N(Debts!$D$11)/12),2)</f>
        <v>0</v>
      </c>
      <c r="AG198" s="56" t="n">
        <f aca="false">ROUND(W197*(1+N(Debts!$D$12)/12),2)</f>
        <v>0</v>
      </c>
      <c r="AH198" s="56" t="n">
        <f aca="false">ROUND(X197*(1+N(Debts!$D$13)/12),2)</f>
        <v>0</v>
      </c>
      <c r="AI198" s="56" t="n">
        <f aca="false">ROUND(Y197*(1+N(Debts!$D$14)/12),2)</f>
        <v>0</v>
      </c>
      <c r="AJ198" s="56" t="n">
        <f aca="false">MIN(Z198,MAX(0,N(Debts!$E$5)))</f>
        <v>0</v>
      </c>
      <c r="AK198" s="56" t="n">
        <f aca="false">MIN(AA198,MAX(0,N(Debts!$E$6)))</f>
        <v>0</v>
      </c>
      <c r="AL198" s="56" t="n">
        <f aca="false">MIN(AB198,MAX(0,N(Debts!$E$7)))</f>
        <v>0</v>
      </c>
      <c r="AM198" s="56" t="n">
        <f aca="false">MIN(AC198,MAX(0,N(Debts!$E$8)))</f>
        <v>0</v>
      </c>
      <c r="AN198" s="56" t="n">
        <f aca="false">MIN(AD198,MAX(0,N(Debts!$E$9)))</f>
        <v>0</v>
      </c>
      <c r="AO198" s="56" t="n">
        <f aca="false">MIN(AE198,MAX(0,N(Debts!$E$10)))</f>
        <v>0</v>
      </c>
      <c r="AP198" s="56" t="n">
        <f aca="false">MIN(AF198,MAX(0,N(Debts!$E$11)))</f>
        <v>0</v>
      </c>
      <c r="AQ198" s="56" t="n">
        <f aca="false">MIN(AG198,MAX(0,N(Debts!$E$12)))</f>
        <v>0</v>
      </c>
      <c r="AR198" s="56" t="n">
        <f aca="false">MIN(AH198,MAX(0,N(Debts!$E$13)))</f>
        <v>0</v>
      </c>
      <c r="AS198" s="56" t="n">
        <f aca="false">MIN(AI198,MAX(0,N(Debts!$E$14)))</f>
        <v>0</v>
      </c>
    </row>
    <row r="199" customFormat="false" ht="15" hidden="false" customHeight="false" outlineLevel="0" collapsed="false">
      <c r="A199" s="53" t="n">
        <v>195</v>
      </c>
      <c r="B199" s="54" t="n">
        <f aca="false">EDATE('Start Here'!$B$8,194)</f>
        <v>52232</v>
      </c>
      <c r="C199" s="42" t="n">
        <f aca="false">SUM(F199:O199)</f>
        <v>0</v>
      </c>
      <c r="D199" s="42" t="n">
        <f aca="false">ROUND(SUM($Z199:$AI199)-SUM(P198:Y198),2)</f>
        <v>0</v>
      </c>
      <c r="E199" s="55" t="n">
        <f aca="false">SUM(P199:Y199)</f>
        <v>0</v>
      </c>
      <c r="F199" s="42" t="n">
        <f aca="false">AJ199+MIN(Z199-AJ199,MAX(0,'Start Here'!$B$10-SUM($AJ199:$AS199)-SUMPRODUCT(($Z$3:$AI$3&lt;Z$3)*($Z199:$AI199-$AJ199:$AS199))))</f>
        <v>0</v>
      </c>
      <c r="G199" s="42" t="n">
        <f aca="false">AK199+MIN(AA199-AK199,MAX(0,'Start Here'!$B$10-SUM($AJ199:$AS199)-SUMPRODUCT(($Z$3:$AI$3&lt;AA$3)*($Z199:$AI199-$AJ199:$AS199))))</f>
        <v>0</v>
      </c>
      <c r="H199" s="42" t="n">
        <f aca="false">AL199+MIN(AB199-AL199,MAX(0,'Start Here'!$B$10-SUM($AJ199:$AS199)-SUMPRODUCT(($Z$3:$AI$3&lt;AB$3)*($Z199:$AI199-$AJ199:$AS199))))</f>
        <v>0</v>
      </c>
      <c r="I199" s="42" t="n">
        <f aca="false">AM199+MIN(AC199-AM199,MAX(0,'Start Here'!$B$10-SUM($AJ199:$AS199)-SUMPRODUCT(($Z$3:$AI$3&lt;AC$3)*($Z199:$AI199-$AJ199:$AS199))))</f>
        <v>0</v>
      </c>
      <c r="J199" s="42" t="n">
        <f aca="false">AN199+MIN(AD199-AN199,MAX(0,'Start Here'!$B$10-SUM($AJ199:$AS199)-SUMPRODUCT(($Z$3:$AI$3&lt;AD$3)*($Z199:$AI199-$AJ199:$AS199))))</f>
        <v>0</v>
      </c>
      <c r="K199" s="42" t="n">
        <f aca="false">AO199+MIN(AE199-AO199,MAX(0,'Start Here'!$B$10-SUM($AJ199:$AS199)-SUMPRODUCT(($Z$3:$AI$3&lt;AE$3)*($Z199:$AI199-$AJ199:$AS199))))</f>
        <v>0</v>
      </c>
      <c r="L199" s="42" t="n">
        <f aca="false">AP199+MIN(AF199-AP199,MAX(0,'Start Here'!$B$10-SUM($AJ199:$AS199)-SUMPRODUCT(($Z$3:$AI$3&lt;AF$3)*($Z199:$AI199-$AJ199:$AS199))))</f>
        <v>0</v>
      </c>
      <c r="M199" s="42" t="n">
        <f aca="false">AQ199+MIN(AG199-AQ199,MAX(0,'Start Here'!$B$10-SUM($AJ199:$AS199)-SUMPRODUCT(($Z$3:$AI$3&lt;AG$3)*($Z199:$AI199-$AJ199:$AS199))))</f>
        <v>0</v>
      </c>
      <c r="N199" s="42" t="n">
        <f aca="false">AR199+MIN(AH199-AR199,MAX(0,'Start Here'!$B$10-SUM($AJ199:$AS199)-SUMPRODUCT(($Z$3:$AI$3&lt;AH$3)*($Z199:$AI199-$AJ199:$AS199))))</f>
        <v>0</v>
      </c>
      <c r="O199" s="42" t="n">
        <f aca="false">AS199+MIN(AI199-AS199,MAX(0,'Start Here'!$B$10-SUM($AJ199:$AS199)-SUMPRODUCT(($Z$3:$AI$3&lt;AI$3)*($Z199:$AI199-$AJ199:$AS199))))</f>
        <v>0</v>
      </c>
      <c r="P199" s="42" t="n">
        <f aca="false">ROUND(Z199-F199,2)</f>
        <v>0</v>
      </c>
      <c r="Q199" s="42" t="n">
        <f aca="false">ROUND(AA199-G199,2)</f>
        <v>0</v>
      </c>
      <c r="R199" s="42" t="n">
        <f aca="false">ROUND(AB199-H199,2)</f>
        <v>0</v>
      </c>
      <c r="S199" s="42" t="n">
        <f aca="false">ROUND(AC199-I199,2)</f>
        <v>0</v>
      </c>
      <c r="T199" s="42" t="n">
        <f aca="false">ROUND(AD199-J199,2)</f>
        <v>0</v>
      </c>
      <c r="U199" s="42" t="n">
        <f aca="false">ROUND(AE199-K199,2)</f>
        <v>0</v>
      </c>
      <c r="V199" s="42" t="n">
        <f aca="false">ROUND(AF199-L199,2)</f>
        <v>0</v>
      </c>
      <c r="W199" s="42" t="n">
        <f aca="false">ROUND(AG199-M199,2)</f>
        <v>0</v>
      </c>
      <c r="X199" s="42" t="n">
        <f aca="false">ROUND(AH199-N199,2)</f>
        <v>0</v>
      </c>
      <c r="Y199" s="42" t="n">
        <f aca="false">ROUND(AI199-O199,2)</f>
        <v>0</v>
      </c>
      <c r="Z199" s="56" t="n">
        <f aca="false">ROUND(P198*(1+N(Debts!$D$5)/12),2)</f>
        <v>0</v>
      </c>
      <c r="AA199" s="56" t="n">
        <f aca="false">ROUND(Q198*(1+N(Debts!$D$6)/12),2)</f>
        <v>0</v>
      </c>
      <c r="AB199" s="56" t="n">
        <f aca="false">ROUND(R198*(1+N(Debts!$D$7)/12),2)</f>
        <v>0</v>
      </c>
      <c r="AC199" s="56" t="n">
        <f aca="false">ROUND(S198*(1+N(Debts!$D$8)/12),2)</f>
        <v>0</v>
      </c>
      <c r="AD199" s="56" t="n">
        <f aca="false">ROUND(T198*(1+N(Debts!$D$9)/12),2)</f>
        <v>0</v>
      </c>
      <c r="AE199" s="56" t="n">
        <f aca="false">ROUND(U198*(1+N(Debts!$D$10)/12),2)</f>
        <v>0</v>
      </c>
      <c r="AF199" s="56" t="n">
        <f aca="false">ROUND(V198*(1+N(Debts!$D$11)/12),2)</f>
        <v>0</v>
      </c>
      <c r="AG199" s="56" t="n">
        <f aca="false">ROUND(W198*(1+N(Debts!$D$12)/12),2)</f>
        <v>0</v>
      </c>
      <c r="AH199" s="56" t="n">
        <f aca="false">ROUND(X198*(1+N(Debts!$D$13)/12),2)</f>
        <v>0</v>
      </c>
      <c r="AI199" s="56" t="n">
        <f aca="false">ROUND(Y198*(1+N(Debts!$D$14)/12),2)</f>
        <v>0</v>
      </c>
      <c r="AJ199" s="56" t="n">
        <f aca="false">MIN(Z199,MAX(0,N(Debts!$E$5)))</f>
        <v>0</v>
      </c>
      <c r="AK199" s="56" t="n">
        <f aca="false">MIN(AA199,MAX(0,N(Debts!$E$6)))</f>
        <v>0</v>
      </c>
      <c r="AL199" s="56" t="n">
        <f aca="false">MIN(AB199,MAX(0,N(Debts!$E$7)))</f>
        <v>0</v>
      </c>
      <c r="AM199" s="56" t="n">
        <f aca="false">MIN(AC199,MAX(0,N(Debts!$E$8)))</f>
        <v>0</v>
      </c>
      <c r="AN199" s="56" t="n">
        <f aca="false">MIN(AD199,MAX(0,N(Debts!$E$9)))</f>
        <v>0</v>
      </c>
      <c r="AO199" s="56" t="n">
        <f aca="false">MIN(AE199,MAX(0,N(Debts!$E$10)))</f>
        <v>0</v>
      </c>
      <c r="AP199" s="56" t="n">
        <f aca="false">MIN(AF199,MAX(0,N(Debts!$E$11)))</f>
        <v>0</v>
      </c>
      <c r="AQ199" s="56" t="n">
        <f aca="false">MIN(AG199,MAX(0,N(Debts!$E$12)))</f>
        <v>0</v>
      </c>
      <c r="AR199" s="56" t="n">
        <f aca="false">MIN(AH199,MAX(0,N(Debts!$E$13)))</f>
        <v>0</v>
      </c>
      <c r="AS199" s="56" t="n">
        <f aca="false">MIN(AI199,MAX(0,N(Debts!$E$14)))</f>
        <v>0</v>
      </c>
    </row>
    <row r="200" customFormat="false" ht="15" hidden="false" customHeight="false" outlineLevel="0" collapsed="false">
      <c r="A200" s="53" t="n">
        <v>196</v>
      </c>
      <c r="B200" s="54" t="n">
        <f aca="false">EDATE('Start Here'!$B$8,195)</f>
        <v>52263</v>
      </c>
      <c r="C200" s="42" t="n">
        <f aca="false">SUM(F200:O200)</f>
        <v>0</v>
      </c>
      <c r="D200" s="42" t="n">
        <f aca="false">ROUND(SUM($Z200:$AI200)-SUM(P199:Y199),2)</f>
        <v>0</v>
      </c>
      <c r="E200" s="55" t="n">
        <f aca="false">SUM(P200:Y200)</f>
        <v>0</v>
      </c>
      <c r="F200" s="42" t="n">
        <f aca="false">AJ200+MIN(Z200-AJ200,MAX(0,'Start Here'!$B$10-SUM($AJ200:$AS200)-SUMPRODUCT(($Z$3:$AI$3&lt;Z$3)*($Z200:$AI200-$AJ200:$AS200))))</f>
        <v>0</v>
      </c>
      <c r="G200" s="42" t="n">
        <f aca="false">AK200+MIN(AA200-AK200,MAX(0,'Start Here'!$B$10-SUM($AJ200:$AS200)-SUMPRODUCT(($Z$3:$AI$3&lt;AA$3)*($Z200:$AI200-$AJ200:$AS200))))</f>
        <v>0</v>
      </c>
      <c r="H200" s="42" t="n">
        <f aca="false">AL200+MIN(AB200-AL200,MAX(0,'Start Here'!$B$10-SUM($AJ200:$AS200)-SUMPRODUCT(($Z$3:$AI$3&lt;AB$3)*($Z200:$AI200-$AJ200:$AS200))))</f>
        <v>0</v>
      </c>
      <c r="I200" s="42" t="n">
        <f aca="false">AM200+MIN(AC200-AM200,MAX(0,'Start Here'!$B$10-SUM($AJ200:$AS200)-SUMPRODUCT(($Z$3:$AI$3&lt;AC$3)*($Z200:$AI200-$AJ200:$AS200))))</f>
        <v>0</v>
      </c>
      <c r="J200" s="42" t="n">
        <f aca="false">AN200+MIN(AD200-AN200,MAX(0,'Start Here'!$B$10-SUM($AJ200:$AS200)-SUMPRODUCT(($Z$3:$AI$3&lt;AD$3)*($Z200:$AI200-$AJ200:$AS200))))</f>
        <v>0</v>
      </c>
      <c r="K200" s="42" t="n">
        <f aca="false">AO200+MIN(AE200-AO200,MAX(0,'Start Here'!$B$10-SUM($AJ200:$AS200)-SUMPRODUCT(($Z$3:$AI$3&lt;AE$3)*($Z200:$AI200-$AJ200:$AS200))))</f>
        <v>0</v>
      </c>
      <c r="L200" s="42" t="n">
        <f aca="false">AP200+MIN(AF200-AP200,MAX(0,'Start Here'!$B$10-SUM($AJ200:$AS200)-SUMPRODUCT(($Z$3:$AI$3&lt;AF$3)*($Z200:$AI200-$AJ200:$AS200))))</f>
        <v>0</v>
      </c>
      <c r="M200" s="42" t="n">
        <f aca="false">AQ200+MIN(AG200-AQ200,MAX(0,'Start Here'!$B$10-SUM($AJ200:$AS200)-SUMPRODUCT(($Z$3:$AI$3&lt;AG$3)*($Z200:$AI200-$AJ200:$AS200))))</f>
        <v>0</v>
      </c>
      <c r="N200" s="42" t="n">
        <f aca="false">AR200+MIN(AH200-AR200,MAX(0,'Start Here'!$B$10-SUM($AJ200:$AS200)-SUMPRODUCT(($Z$3:$AI$3&lt;AH$3)*($Z200:$AI200-$AJ200:$AS200))))</f>
        <v>0</v>
      </c>
      <c r="O200" s="42" t="n">
        <f aca="false">AS200+MIN(AI200-AS200,MAX(0,'Start Here'!$B$10-SUM($AJ200:$AS200)-SUMPRODUCT(($Z$3:$AI$3&lt;AI$3)*($Z200:$AI200-$AJ200:$AS200))))</f>
        <v>0</v>
      </c>
      <c r="P200" s="42" t="n">
        <f aca="false">ROUND(Z200-F200,2)</f>
        <v>0</v>
      </c>
      <c r="Q200" s="42" t="n">
        <f aca="false">ROUND(AA200-G200,2)</f>
        <v>0</v>
      </c>
      <c r="R200" s="42" t="n">
        <f aca="false">ROUND(AB200-H200,2)</f>
        <v>0</v>
      </c>
      <c r="S200" s="42" t="n">
        <f aca="false">ROUND(AC200-I200,2)</f>
        <v>0</v>
      </c>
      <c r="T200" s="42" t="n">
        <f aca="false">ROUND(AD200-J200,2)</f>
        <v>0</v>
      </c>
      <c r="U200" s="42" t="n">
        <f aca="false">ROUND(AE200-K200,2)</f>
        <v>0</v>
      </c>
      <c r="V200" s="42" t="n">
        <f aca="false">ROUND(AF200-L200,2)</f>
        <v>0</v>
      </c>
      <c r="W200" s="42" t="n">
        <f aca="false">ROUND(AG200-M200,2)</f>
        <v>0</v>
      </c>
      <c r="X200" s="42" t="n">
        <f aca="false">ROUND(AH200-N200,2)</f>
        <v>0</v>
      </c>
      <c r="Y200" s="42" t="n">
        <f aca="false">ROUND(AI200-O200,2)</f>
        <v>0</v>
      </c>
      <c r="Z200" s="56" t="n">
        <f aca="false">ROUND(P199*(1+N(Debts!$D$5)/12),2)</f>
        <v>0</v>
      </c>
      <c r="AA200" s="56" t="n">
        <f aca="false">ROUND(Q199*(1+N(Debts!$D$6)/12),2)</f>
        <v>0</v>
      </c>
      <c r="AB200" s="56" t="n">
        <f aca="false">ROUND(R199*(1+N(Debts!$D$7)/12),2)</f>
        <v>0</v>
      </c>
      <c r="AC200" s="56" t="n">
        <f aca="false">ROUND(S199*(1+N(Debts!$D$8)/12),2)</f>
        <v>0</v>
      </c>
      <c r="AD200" s="56" t="n">
        <f aca="false">ROUND(T199*(1+N(Debts!$D$9)/12),2)</f>
        <v>0</v>
      </c>
      <c r="AE200" s="56" t="n">
        <f aca="false">ROUND(U199*(1+N(Debts!$D$10)/12),2)</f>
        <v>0</v>
      </c>
      <c r="AF200" s="56" t="n">
        <f aca="false">ROUND(V199*(1+N(Debts!$D$11)/12),2)</f>
        <v>0</v>
      </c>
      <c r="AG200" s="56" t="n">
        <f aca="false">ROUND(W199*(1+N(Debts!$D$12)/12),2)</f>
        <v>0</v>
      </c>
      <c r="AH200" s="56" t="n">
        <f aca="false">ROUND(X199*(1+N(Debts!$D$13)/12),2)</f>
        <v>0</v>
      </c>
      <c r="AI200" s="56" t="n">
        <f aca="false">ROUND(Y199*(1+N(Debts!$D$14)/12),2)</f>
        <v>0</v>
      </c>
      <c r="AJ200" s="56" t="n">
        <f aca="false">MIN(Z200,MAX(0,N(Debts!$E$5)))</f>
        <v>0</v>
      </c>
      <c r="AK200" s="56" t="n">
        <f aca="false">MIN(AA200,MAX(0,N(Debts!$E$6)))</f>
        <v>0</v>
      </c>
      <c r="AL200" s="56" t="n">
        <f aca="false">MIN(AB200,MAX(0,N(Debts!$E$7)))</f>
        <v>0</v>
      </c>
      <c r="AM200" s="56" t="n">
        <f aca="false">MIN(AC200,MAX(0,N(Debts!$E$8)))</f>
        <v>0</v>
      </c>
      <c r="AN200" s="56" t="n">
        <f aca="false">MIN(AD200,MAX(0,N(Debts!$E$9)))</f>
        <v>0</v>
      </c>
      <c r="AO200" s="56" t="n">
        <f aca="false">MIN(AE200,MAX(0,N(Debts!$E$10)))</f>
        <v>0</v>
      </c>
      <c r="AP200" s="56" t="n">
        <f aca="false">MIN(AF200,MAX(0,N(Debts!$E$11)))</f>
        <v>0</v>
      </c>
      <c r="AQ200" s="56" t="n">
        <f aca="false">MIN(AG200,MAX(0,N(Debts!$E$12)))</f>
        <v>0</v>
      </c>
      <c r="AR200" s="56" t="n">
        <f aca="false">MIN(AH200,MAX(0,N(Debts!$E$13)))</f>
        <v>0</v>
      </c>
      <c r="AS200" s="56" t="n">
        <f aca="false">MIN(AI200,MAX(0,N(Debts!$E$14)))</f>
        <v>0</v>
      </c>
    </row>
    <row r="201" customFormat="false" ht="15" hidden="false" customHeight="false" outlineLevel="0" collapsed="false">
      <c r="A201" s="53" t="n">
        <v>197</v>
      </c>
      <c r="B201" s="54" t="n">
        <f aca="false">EDATE('Start Here'!$B$8,196)</f>
        <v>52291</v>
      </c>
      <c r="C201" s="42" t="n">
        <f aca="false">SUM(F201:O201)</f>
        <v>0</v>
      </c>
      <c r="D201" s="42" t="n">
        <f aca="false">ROUND(SUM($Z201:$AI201)-SUM(P200:Y200),2)</f>
        <v>0</v>
      </c>
      <c r="E201" s="55" t="n">
        <f aca="false">SUM(P201:Y201)</f>
        <v>0</v>
      </c>
      <c r="F201" s="42" t="n">
        <f aca="false">AJ201+MIN(Z201-AJ201,MAX(0,'Start Here'!$B$10-SUM($AJ201:$AS201)-SUMPRODUCT(($Z$3:$AI$3&lt;Z$3)*($Z201:$AI201-$AJ201:$AS201))))</f>
        <v>0</v>
      </c>
      <c r="G201" s="42" t="n">
        <f aca="false">AK201+MIN(AA201-AK201,MAX(0,'Start Here'!$B$10-SUM($AJ201:$AS201)-SUMPRODUCT(($Z$3:$AI$3&lt;AA$3)*($Z201:$AI201-$AJ201:$AS201))))</f>
        <v>0</v>
      </c>
      <c r="H201" s="42" t="n">
        <f aca="false">AL201+MIN(AB201-AL201,MAX(0,'Start Here'!$B$10-SUM($AJ201:$AS201)-SUMPRODUCT(($Z$3:$AI$3&lt;AB$3)*($Z201:$AI201-$AJ201:$AS201))))</f>
        <v>0</v>
      </c>
      <c r="I201" s="42" t="n">
        <f aca="false">AM201+MIN(AC201-AM201,MAX(0,'Start Here'!$B$10-SUM($AJ201:$AS201)-SUMPRODUCT(($Z$3:$AI$3&lt;AC$3)*($Z201:$AI201-$AJ201:$AS201))))</f>
        <v>0</v>
      </c>
      <c r="J201" s="42" t="n">
        <f aca="false">AN201+MIN(AD201-AN201,MAX(0,'Start Here'!$B$10-SUM($AJ201:$AS201)-SUMPRODUCT(($Z$3:$AI$3&lt;AD$3)*($Z201:$AI201-$AJ201:$AS201))))</f>
        <v>0</v>
      </c>
      <c r="K201" s="42" t="n">
        <f aca="false">AO201+MIN(AE201-AO201,MAX(0,'Start Here'!$B$10-SUM($AJ201:$AS201)-SUMPRODUCT(($Z$3:$AI$3&lt;AE$3)*($Z201:$AI201-$AJ201:$AS201))))</f>
        <v>0</v>
      </c>
      <c r="L201" s="42" t="n">
        <f aca="false">AP201+MIN(AF201-AP201,MAX(0,'Start Here'!$B$10-SUM($AJ201:$AS201)-SUMPRODUCT(($Z$3:$AI$3&lt;AF$3)*($Z201:$AI201-$AJ201:$AS201))))</f>
        <v>0</v>
      </c>
      <c r="M201" s="42" t="n">
        <f aca="false">AQ201+MIN(AG201-AQ201,MAX(0,'Start Here'!$B$10-SUM($AJ201:$AS201)-SUMPRODUCT(($Z$3:$AI$3&lt;AG$3)*($Z201:$AI201-$AJ201:$AS201))))</f>
        <v>0</v>
      </c>
      <c r="N201" s="42" t="n">
        <f aca="false">AR201+MIN(AH201-AR201,MAX(0,'Start Here'!$B$10-SUM($AJ201:$AS201)-SUMPRODUCT(($Z$3:$AI$3&lt;AH$3)*($Z201:$AI201-$AJ201:$AS201))))</f>
        <v>0</v>
      </c>
      <c r="O201" s="42" t="n">
        <f aca="false">AS201+MIN(AI201-AS201,MAX(0,'Start Here'!$B$10-SUM($AJ201:$AS201)-SUMPRODUCT(($Z$3:$AI$3&lt;AI$3)*($Z201:$AI201-$AJ201:$AS201))))</f>
        <v>0</v>
      </c>
      <c r="P201" s="42" t="n">
        <f aca="false">ROUND(Z201-F201,2)</f>
        <v>0</v>
      </c>
      <c r="Q201" s="42" t="n">
        <f aca="false">ROUND(AA201-G201,2)</f>
        <v>0</v>
      </c>
      <c r="R201" s="42" t="n">
        <f aca="false">ROUND(AB201-H201,2)</f>
        <v>0</v>
      </c>
      <c r="S201" s="42" t="n">
        <f aca="false">ROUND(AC201-I201,2)</f>
        <v>0</v>
      </c>
      <c r="T201" s="42" t="n">
        <f aca="false">ROUND(AD201-J201,2)</f>
        <v>0</v>
      </c>
      <c r="U201" s="42" t="n">
        <f aca="false">ROUND(AE201-K201,2)</f>
        <v>0</v>
      </c>
      <c r="V201" s="42" t="n">
        <f aca="false">ROUND(AF201-L201,2)</f>
        <v>0</v>
      </c>
      <c r="W201" s="42" t="n">
        <f aca="false">ROUND(AG201-M201,2)</f>
        <v>0</v>
      </c>
      <c r="X201" s="42" t="n">
        <f aca="false">ROUND(AH201-N201,2)</f>
        <v>0</v>
      </c>
      <c r="Y201" s="42" t="n">
        <f aca="false">ROUND(AI201-O201,2)</f>
        <v>0</v>
      </c>
      <c r="Z201" s="56" t="n">
        <f aca="false">ROUND(P200*(1+N(Debts!$D$5)/12),2)</f>
        <v>0</v>
      </c>
      <c r="AA201" s="56" t="n">
        <f aca="false">ROUND(Q200*(1+N(Debts!$D$6)/12),2)</f>
        <v>0</v>
      </c>
      <c r="AB201" s="56" t="n">
        <f aca="false">ROUND(R200*(1+N(Debts!$D$7)/12),2)</f>
        <v>0</v>
      </c>
      <c r="AC201" s="56" t="n">
        <f aca="false">ROUND(S200*(1+N(Debts!$D$8)/12),2)</f>
        <v>0</v>
      </c>
      <c r="AD201" s="56" t="n">
        <f aca="false">ROUND(T200*(1+N(Debts!$D$9)/12),2)</f>
        <v>0</v>
      </c>
      <c r="AE201" s="56" t="n">
        <f aca="false">ROUND(U200*(1+N(Debts!$D$10)/12),2)</f>
        <v>0</v>
      </c>
      <c r="AF201" s="56" t="n">
        <f aca="false">ROUND(V200*(1+N(Debts!$D$11)/12),2)</f>
        <v>0</v>
      </c>
      <c r="AG201" s="56" t="n">
        <f aca="false">ROUND(W200*(1+N(Debts!$D$12)/12),2)</f>
        <v>0</v>
      </c>
      <c r="AH201" s="56" t="n">
        <f aca="false">ROUND(X200*(1+N(Debts!$D$13)/12),2)</f>
        <v>0</v>
      </c>
      <c r="AI201" s="56" t="n">
        <f aca="false">ROUND(Y200*(1+N(Debts!$D$14)/12),2)</f>
        <v>0</v>
      </c>
      <c r="AJ201" s="56" t="n">
        <f aca="false">MIN(Z201,MAX(0,N(Debts!$E$5)))</f>
        <v>0</v>
      </c>
      <c r="AK201" s="56" t="n">
        <f aca="false">MIN(AA201,MAX(0,N(Debts!$E$6)))</f>
        <v>0</v>
      </c>
      <c r="AL201" s="56" t="n">
        <f aca="false">MIN(AB201,MAX(0,N(Debts!$E$7)))</f>
        <v>0</v>
      </c>
      <c r="AM201" s="56" t="n">
        <f aca="false">MIN(AC201,MAX(0,N(Debts!$E$8)))</f>
        <v>0</v>
      </c>
      <c r="AN201" s="56" t="n">
        <f aca="false">MIN(AD201,MAX(0,N(Debts!$E$9)))</f>
        <v>0</v>
      </c>
      <c r="AO201" s="56" t="n">
        <f aca="false">MIN(AE201,MAX(0,N(Debts!$E$10)))</f>
        <v>0</v>
      </c>
      <c r="AP201" s="56" t="n">
        <f aca="false">MIN(AF201,MAX(0,N(Debts!$E$11)))</f>
        <v>0</v>
      </c>
      <c r="AQ201" s="56" t="n">
        <f aca="false">MIN(AG201,MAX(0,N(Debts!$E$12)))</f>
        <v>0</v>
      </c>
      <c r="AR201" s="56" t="n">
        <f aca="false">MIN(AH201,MAX(0,N(Debts!$E$13)))</f>
        <v>0</v>
      </c>
      <c r="AS201" s="56" t="n">
        <f aca="false">MIN(AI201,MAX(0,N(Debts!$E$14)))</f>
        <v>0</v>
      </c>
    </row>
    <row r="202" customFormat="false" ht="15" hidden="false" customHeight="false" outlineLevel="0" collapsed="false">
      <c r="A202" s="53" t="n">
        <v>198</v>
      </c>
      <c r="B202" s="54" t="n">
        <f aca="false">EDATE('Start Here'!$B$8,197)</f>
        <v>52322</v>
      </c>
      <c r="C202" s="42" t="n">
        <f aca="false">SUM(F202:O202)</f>
        <v>0</v>
      </c>
      <c r="D202" s="42" t="n">
        <f aca="false">ROUND(SUM($Z202:$AI202)-SUM(P201:Y201),2)</f>
        <v>0</v>
      </c>
      <c r="E202" s="55" t="n">
        <f aca="false">SUM(P202:Y202)</f>
        <v>0</v>
      </c>
      <c r="F202" s="42" t="n">
        <f aca="false">AJ202+MIN(Z202-AJ202,MAX(0,'Start Here'!$B$10-SUM($AJ202:$AS202)-SUMPRODUCT(($Z$3:$AI$3&lt;Z$3)*($Z202:$AI202-$AJ202:$AS202))))</f>
        <v>0</v>
      </c>
      <c r="G202" s="42" t="n">
        <f aca="false">AK202+MIN(AA202-AK202,MAX(0,'Start Here'!$B$10-SUM($AJ202:$AS202)-SUMPRODUCT(($Z$3:$AI$3&lt;AA$3)*($Z202:$AI202-$AJ202:$AS202))))</f>
        <v>0</v>
      </c>
      <c r="H202" s="42" t="n">
        <f aca="false">AL202+MIN(AB202-AL202,MAX(0,'Start Here'!$B$10-SUM($AJ202:$AS202)-SUMPRODUCT(($Z$3:$AI$3&lt;AB$3)*($Z202:$AI202-$AJ202:$AS202))))</f>
        <v>0</v>
      </c>
      <c r="I202" s="42" t="n">
        <f aca="false">AM202+MIN(AC202-AM202,MAX(0,'Start Here'!$B$10-SUM($AJ202:$AS202)-SUMPRODUCT(($Z$3:$AI$3&lt;AC$3)*($Z202:$AI202-$AJ202:$AS202))))</f>
        <v>0</v>
      </c>
      <c r="J202" s="42" t="n">
        <f aca="false">AN202+MIN(AD202-AN202,MAX(0,'Start Here'!$B$10-SUM($AJ202:$AS202)-SUMPRODUCT(($Z$3:$AI$3&lt;AD$3)*($Z202:$AI202-$AJ202:$AS202))))</f>
        <v>0</v>
      </c>
      <c r="K202" s="42" t="n">
        <f aca="false">AO202+MIN(AE202-AO202,MAX(0,'Start Here'!$B$10-SUM($AJ202:$AS202)-SUMPRODUCT(($Z$3:$AI$3&lt;AE$3)*($Z202:$AI202-$AJ202:$AS202))))</f>
        <v>0</v>
      </c>
      <c r="L202" s="42" t="n">
        <f aca="false">AP202+MIN(AF202-AP202,MAX(0,'Start Here'!$B$10-SUM($AJ202:$AS202)-SUMPRODUCT(($Z$3:$AI$3&lt;AF$3)*($Z202:$AI202-$AJ202:$AS202))))</f>
        <v>0</v>
      </c>
      <c r="M202" s="42" t="n">
        <f aca="false">AQ202+MIN(AG202-AQ202,MAX(0,'Start Here'!$B$10-SUM($AJ202:$AS202)-SUMPRODUCT(($Z$3:$AI$3&lt;AG$3)*($Z202:$AI202-$AJ202:$AS202))))</f>
        <v>0</v>
      </c>
      <c r="N202" s="42" t="n">
        <f aca="false">AR202+MIN(AH202-AR202,MAX(0,'Start Here'!$B$10-SUM($AJ202:$AS202)-SUMPRODUCT(($Z$3:$AI$3&lt;AH$3)*($Z202:$AI202-$AJ202:$AS202))))</f>
        <v>0</v>
      </c>
      <c r="O202" s="42" t="n">
        <f aca="false">AS202+MIN(AI202-AS202,MAX(0,'Start Here'!$B$10-SUM($AJ202:$AS202)-SUMPRODUCT(($Z$3:$AI$3&lt;AI$3)*($Z202:$AI202-$AJ202:$AS202))))</f>
        <v>0</v>
      </c>
      <c r="P202" s="42" t="n">
        <f aca="false">ROUND(Z202-F202,2)</f>
        <v>0</v>
      </c>
      <c r="Q202" s="42" t="n">
        <f aca="false">ROUND(AA202-G202,2)</f>
        <v>0</v>
      </c>
      <c r="R202" s="42" t="n">
        <f aca="false">ROUND(AB202-H202,2)</f>
        <v>0</v>
      </c>
      <c r="S202" s="42" t="n">
        <f aca="false">ROUND(AC202-I202,2)</f>
        <v>0</v>
      </c>
      <c r="T202" s="42" t="n">
        <f aca="false">ROUND(AD202-J202,2)</f>
        <v>0</v>
      </c>
      <c r="U202" s="42" t="n">
        <f aca="false">ROUND(AE202-K202,2)</f>
        <v>0</v>
      </c>
      <c r="V202" s="42" t="n">
        <f aca="false">ROUND(AF202-L202,2)</f>
        <v>0</v>
      </c>
      <c r="W202" s="42" t="n">
        <f aca="false">ROUND(AG202-M202,2)</f>
        <v>0</v>
      </c>
      <c r="X202" s="42" t="n">
        <f aca="false">ROUND(AH202-N202,2)</f>
        <v>0</v>
      </c>
      <c r="Y202" s="42" t="n">
        <f aca="false">ROUND(AI202-O202,2)</f>
        <v>0</v>
      </c>
      <c r="Z202" s="56" t="n">
        <f aca="false">ROUND(P201*(1+N(Debts!$D$5)/12),2)</f>
        <v>0</v>
      </c>
      <c r="AA202" s="56" t="n">
        <f aca="false">ROUND(Q201*(1+N(Debts!$D$6)/12),2)</f>
        <v>0</v>
      </c>
      <c r="AB202" s="56" t="n">
        <f aca="false">ROUND(R201*(1+N(Debts!$D$7)/12),2)</f>
        <v>0</v>
      </c>
      <c r="AC202" s="56" t="n">
        <f aca="false">ROUND(S201*(1+N(Debts!$D$8)/12),2)</f>
        <v>0</v>
      </c>
      <c r="AD202" s="56" t="n">
        <f aca="false">ROUND(T201*(1+N(Debts!$D$9)/12),2)</f>
        <v>0</v>
      </c>
      <c r="AE202" s="56" t="n">
        <f aca="false">ROUND(U201*(1+N(Debts!$D$10)/12),2)</f>
        <v>0</v>
      </c>
      <c r="AF202" s="56" t="n">
        <f aca="false">ROUND(V201*(1+N(Debts!$D$11)/12),2)</f>
        <v>0</v>
      </c>
      <c r="AG202" s="56" t="n">
        <f aca="false">ROUND(W201*(1+N(Debts!$D$12)/12),2)</f>
        <v>0</v>
      </c>
      <c r="AH202" s="56" t="n">
        <f aca="false">ROUND(X201*(1+N(Debts!$D$13)/12),2)</f>
        <v>0</v>
      </c>
      <c r="AI202" s="56" t="n">
        <f aca="false">ROUND(Y201*(1+N(Debts!$D$14)/12),2)</f>
        <v>0</v>
      </c>
      <c r="AJ202" s="56" t="n">
        <f aca="false">MIN(Z202,MAX(0,N(Debts!$E$5)))</f>
        <v>0</v>
      </c>
      <c r="AK202" s="56" t="n">
        <f aca="false">MIN(AA202,MAX(0,N(Debts!$E$6)))</f>
        <v>0</v>
      </c>
      <c r="AL202" s="56" t="n">
        <f aca="false">MIN(AB202,MAX(0,N(Debts!$E$7)))</f>
        <v>0</v>
      </c>
      <c r="AM202" s="56" t="n">
        <f aca="false">MIN(AC202,MAX(0,N(Debts!$E$8)))</f>
        <v>0</v>
      </c>
      <c r="AN202" s="56" t="n">
        <f aca="false">MIN(AD202,MAX(0,N(Debts!$E$9)))</f>
        <v>0</v>
      </c>
      <c r="AO202" s="56" t="n">
        <f aca="false">MIN(AE202,MAX(0,N(Debts!$E$10)))</f>
        <v>0</v>
      </c>
      <c r="AP202" s="56" t="n">
        <f aca="false">MIN(AF202,MAX(0,N(Debts!$E$11)))</f>
        <v>0</v>
      </c>
      <c r="AQ202" s="56" t="n">
        <f aca="false">MIN(AG202,MAX(0,N(Debts!$E$12)))</f>
        <v>0</v>
      </c>
      <c r="AR202" s="56" t="n">
        <f aca="false">MIN(AH202,MAX(0,N(Debts!$E$13)))</f>
        <v>0</v>
      </c>
      <c r="AS202" s="56" t="n">
        <f aca="false">MIN(AI202,MAX(0,N(Debts!$E$14)))</f>
        <v>0</v>
      </c>
    </row>
    <row r="203" customFormat="false" ht="15" hidden="false" customHeight="false" outlineLevel="0" collapsed="false">
      <c r="A203" s="53" t="n">
        <v>199</v>
      </c>
      <c r="B203" s="54" t="n">
        <f aca="false">EDATE('Start Here'!$B$8,198)</f>
        <v>52352</v>
      </c>
      <c r="C203" s="42" t="n">
        <f aca="false">SUM(F203:O203)</f>
        <v>0</v>
      </c>
      <c r="D203" s="42" t="n">
        <f aca="false">ROUND(SUM($Z203:$AI203)-SUM(P202:Y202),2)</f>
        <v>0</v>
      </c>
      <c r="E203" s="55" t="n">
        <f aca="false">SUM(P203:Y203)</f>
        <v>0</v>
      </c>
      <c r="F203" s="42" t="n">
        <f aca="false">AJ203+MIN(Z203-AJ203,MAX(0,'Start Here'!$B$10-SUM($AJ203:$AS203)-SUMPRODUCT(($Z$3:$AI$3&lt;Z$3)*($Z203:$AI203-$AJ203:$AS203))))</f>
        <v>0</v>
      </c>
      <c r="G203" s="42" t="n">
        <f aca="false">AK203+MIN(AA203-AK203,MAX(0,'Start Here'!$B$10-SUM($AJ203:$AS203)-SUMPRODUCT(($Z$3:$AI$3&lt;AA$3)*($Z203:$AI203-$AJ203:$AS203))))</f>
        <v>0</v>
      </c>
      <c r="H203" s="42" t="n">
        <f aca="false">AL203+MIN(AB203-AL203,MAX(0,'Start Here'!$B$10-SUM($AJ203:$AS203)-SUMPRODUCT(($Z$3:$AI$3&lt;AB$3)*($Z203:$AI203-$AJ203:$AS203))))</f>
        <v>0</v>
      </c>
      <c r="I203" s="42" t="n">
        <f aca="false">AM203+MIN(AC203-AM203,MAX(0,'Start Here'!$B$10-SUM($AJ203:$AS203)-SUMPRODUCT(($Z$3:$AI$3&lt;AC$3)*($Z203:$AI203-$AJ203:$AS203))))</f>
        <v>0</v>
      </c>
      <c r="J203" s="42" t="n">
        <f aca="false">AN203+MIN(AD203-AN203,MAX(0,'Start Here'!$B$10-SUM($AJ203:$AS203)-SUMPRODUCT(($Z$3:$AI$3&lt;AD$3)*($Z203:$AI203-$AJ203:$AS203))))</f>
        <v>0</v>
      </c>
      <c r="K203" s="42" t="n">
        <f aca="false">AO203+MIN(AE203-AO203,MAX(0,'Start Here'!$B$10-SUM($AJ203:$AS203)-SUMPRODUCT(($Z$3:$AI$3&lt;AE$3)*($Z203:$AI203-$AJ203:$AS203))))</f>
        <v>0</v>
      </c>
      <c r="L203" s="42" t="n">
        <f aca="false">AP203+MIN(AF203-AP203,MAX(0,'Start Here'!$B$10-SUM($AJ203:$AS203)-SUMPRODUCT(($Z$3:$AI$3&lt;AF$3)*($Z203:$AI203-$AJ203:$AS203))))</f>
        <v>0</v>
      </c>
      <c r="M203" s="42" t="n">
        <f aca="false">AQ203+MIN(AG203-AQ203,MAX(0,'Start Here'!$B$10-SUM($AJ203:$AS203)-SUMPRODUCT(($Z$3:$AI$3&lt;AG$3)*($Z203:$AI203-$AJ203:$AS203))))</f>
        <v>0</v>
      </c>
      <c r="N203" s="42" t="n">
        <f aca="false">AR203+MIN(AH203-AR203,MAX(0,'Start Here'!$B$10-SUM($AJ203:$AS203)-SUMPRODUCT(($Z$3:$AI$3&lt;AH$3)*($Z203:$AI203-$AJ203:$AS203))))</f>
        <v>0</v>
      </c>
      <c r="O203" s="42" t="n">
        <f aca="false">AS203+MIN(AI203-AS203,MAX(0,'Start Here'!$B$10-SUM($AJ203:$AS203)-SUMPRODUCT(($Z$3:$AI$3&lt;AI$3)*($Z203:$AI203-$AJ203:$AS203))))</f>
        <v>0</v>
      </c>
      <c r="P203" s="42" t="n">
        <f aca="false">ROUND(Z203-F203,2)</f>
        <v>0</v>
      </c>
      <c r="Q203" s="42" t="n">
        <f aca="false">ROUND(AA203-G203,2)</f>
        <v>0</v>
      </c>
      <c r="R203" s="42" t="n">
        <f aca="false">ROUND(AB203-H203,2)</f>
        <v>0</v>
      </c>
      <c r="S203" s="42" t="n">
        <f aca="false">ROUND(AC203-I203,2)</f>
        <v>0</v>
      </c>
      <c r="T203" s="42" t="n">
        <f aca="false">ROUND(AD203-J203,2)</f>
        <v>0</v>
      </c>
      <c r="U203" s="42" t="n">
        <f aca="false">ROUND(AE203-K203,2)</f>
        <v>0</v>
      </c>
      <c r="V203" s="42" t="n">
        <f aca="false">ROUND(AF203-L203,2)</f>
        <v>0</v>
      </c>
      <c r="W203" s="42" t="n">
        <f aca="false">ROUND(AG203-M203,2)</f>
        <v>0</v>
      </c>
      <c r="X203" s="42" t="n">
        <f aca="false">ROUND(AH203-N203,2)</f>
        <v>0</v>
      </c>
      <c r="Y203" s="42" t="n">
        <f aca="false">ROUND(AI203-O203,2)</f>
        <v>0</v>
      </c>
      <c r="Z203" s="56" t="n">
        <f aca="false">ROUND(P202*(1+N(Debts!$D$5)/12),2)</f>
        <v>0</v>
      </c>
      <c r="AA203" s="56" t="n">
        <f aca="false">ROUND(Q202*(1+N(Debts!$D$6)/12),2)</f>
        <v>0</v>
      </c>
      <c r="AB203" s="56" t="n">
        <f aca="false">ROUND(R202*(1+N(Debts!$D$7)/12),2)</f>
        <v>0</v>
      </c>
      <c r="AC203" s="56" t="n">
        <f aca="false">ROUND(S202*(1+N(Debts!$D$8)/12),2)</f>
        <v>0</v>
      </c>
      <c r="AD203" s="56" t="n">
        <f aca="false">ROUND(T202*(1+N(Debts!$D$9)/12),2)</f>
        <v>0</v>
      </c>
      <c r="AE203" s="56" t="n">
        <f aca="false">ROUND(U202*(1+N(Debts!$D$10)/12),2)</f>
        <v>0</v>
      </c>
      <c r="AF203" s="56" t="n">
        <f aca="false">ROUND(V202*(1+N(Debts!$D$11)/12),2)</f>
        <v>0</v>
      </c>
      <c r="AG203" s="56" t="n">
        <f aca="false">ROUND(W202*(1+N(Debts!$D$12)/12),2)</f>
        <v>0</v>
      </c>
      <c r="AH203" s="56" t="n">
        <f aca="false">ROUND(X202*(1+N(Debts!$D$13)/12),2)</f>
        <v>0</v>
      </c>
      <c r="AI203" s="56" t="n">
        <f aca="false">ROUND(Y202*(1+N(Debts!$D$14)/12),2)</f>
        <v>0</v>
      </c>
      <c r="AJ203" s="56" t="n">
        <f aca="false">MIN(Z203,MAX(0,N(Debts!$E$5)))</f>
        <v>0</v>
      </c>
      <c r="AK203" s="56" t="n">
        <f aca="false">MIN(AA203,MAX(0,N(Debts!$E$6)))</f>
        <v>0</v>
      </c>
      <c r="AL203" s="56" t="n">
        <f aca="false">MIN(AB203,MAX(0,N(Debts!$E$7)))</f>
        <v>0</v>
      </c>
      <c r="AM203" s="56" t="n">
        <f aca="false">MIN(AC203,MAX(0,N(Debts!$E$8)))</f>
        <v>0</v>
      </c>
      <c r="AN203" s="56" t="n">
        <f aca="false">MIN(AD203,MAX(0,N(Debts!$E$9)))</f>
        <v>0</v>
      </c>
      <c r="AO203" s="56" t="n">
        <f aca="false">MIN(AE203,MAX(0,N(Debts!$E$10)))</f>
        <v>0</v>
      </c>
      <c r="AP203" s="56" t="n">
        <f aca="false">MIN(AF203,MAX(0,N(Debts!$E$11)))</f>
        <v>0</v>
      </c>
      <c r="AQ203" s="56" t="n">
        <f aca="false">MIN(AG203,MAX(0,N(Debts!$E$12)))</f>
        <v>0</v>
      </c>
      <c r="AR203" s="56" t="n">
        <f aca="false">MIN(AH203,MAX(0,N(Debts!$E$13)))</f>
        <v>0</v>
      </c>
      <c r="AS203" s="56" t="n">
        <f aca="false">MIN(AI203,MAX(0,N(Debts!$E$14)))</f>
        <v>0</v>
      </c>
    </row>
    <row r="204" customFormat="false" ht="15" hidden="false" customHeight="false" outlineLevel="0" collapsed="false">
      <c r="A204" s="53" t="n">
        <v>200</v>
      </c>
      <c r="B204" s="54" t="n">
        <f aca="false">EDATE('Start Here'!$B$8,199)</f>
        <v>52383</v>
      </c>
      <c r="C204" s="42" t="n">
        <f aca="false">SUM(F204:O204)</f>
        <v>0</v>
      </c>
      <c r="D204" s="42" t="n">
        <f aca="false">ROUND(SUM($Z204:$AI204)-SUM(P203:Y203),2)</f>
        <v>0</v>
      </c>
      <c r="E204" s="55" t="n">
        <f aca="false">SUM(P204:Y204)</f>
        <v>0</v>
      </c>
      <c r="F204" s="42" t="n">
        <f aca="false">AJ204+MIN(Z204-AJ204,MAX(0,'Start Here'!$B$10-SUM($AJ204:$AS204)-SUMPRODUCT(($Z$3:$AI$3&lt;Z$3)*($Z204:$AI204-$AJ204:$AS204))))</f>
        <v>0</v>
      </c>
      <c r="G204" s="42" t="n">
        <f aca="false">AK204+MIN(AA204-AK204,MAX(0,'Start Here'!$B$10-SUM($AJ204:$AS204)-SUMPRODUCT(($Z$3:$AI$3&lt;AA$3)*($Z204:$AI204-$AJ204:$AS204))))</f>
        <v>0</v>
      </c>
      <c r="H204" s="42" t="n">
        <f aca="false">AL204+MIN(AB204-AL204,MAX(0,'Start Here'!$B$10-SUM($AJ204:$AS204)-SUMPRODUCT(($Z$3:$AI$3&lt;AB$3)*($Z204:$AI204-$AJ204:$AS204))))</f>
        <v>0</v>
      </c>
      <c r="I204" s="42" t="n">
        <f aca="false">AM204+MIN(AC204-AM204,MAX(0,'Start Here'!$B$10-SUM($AJ204:$AS204)-SUMPRODUCT(($Z$3:$AI$3&lt;AC$3)*($Z204:$AI204-$AJ204:$AS204))))</f>
        <v>0</v>
      </c>
      <c r="J204" s="42" t="n">
        <f aca="false">AN204+MIN(AD204-AN204,MAX(0,'Start Here'!$B$10-SUM($AJ204:$AS204)-SUMPRODUCT(($Z$3:$AI$3&lt;AD$3)*($Z204:$AI204-$AJ204:$AS204))))</f>
        <v>0</v>
      </c>
      <c r="K204" s="42" t="n">
        <f aca="false">AO204+MIN(AE204-AO204,MAX(0,'Start Here'!$B$10-SUM($AJ204:$AS204)-SUMPRODUCT(($Z$3:$AI$3&lt;AE$3)*($Z204:$AI204-$AJ204:$AS204))))</f>
        <v>0</v>
      </c>
      <c r="L204" s="42" t="n">
        <f aca="false">AP204+MIN(AF204-AP204,MAX(0,'Start Here'!$B$10-SUM($AJ204:$AS204)-SUMPRODUCT(($Z$3:$AI$3&lt;AF$3)*($Z204:$AI204-$AJ204:$AS204))))</f>
        <v>0</v>
      </c>
      <c r="M204" s="42" t="n">
        <f aca="false">AQ204+MIN(AG204-AQ204,MAX(0,'Start Here'!$B$10-SUM($AJ204:$AS204)-SUMPRODUCT(($Z$3:$AI$3&lt;AG$3)*($Z204:$AI204-$AJ204:$AS204))))</f>
        <v>0</v>
      </c>
      <c r="N204" s="42" t="n">
        <f aca="false">AR204+MIN(AH204-AR204,MAX(0,'Start Here'!$B$10-SUM($AJ204:$AS204)-SUMPRODUCT(($Z$3:$AI$3&lt;AH$3)*($Z204:$AI204-$AJ204:$AS204))))</f>
        <v>0</v>
      </c>
      <c r="O204" s="42" t="n">
        <f aca="false">AS204+MIN(AI204-AS204,MAX(0,'Start Here'!$B$10-SUM($AJ204:$AS204)-SUMPRODUCT(($Z$3:$AI$3&lt;AI$3)*($Z204:$AI204-$AJ204:$AS204))))</f>
        <v>0</v>
      </c>
      <c r="P204" s="42" t="n">
        <f aca="false">ROUND(Z204-F204,2)</f>
        <v>0</v>
      </c>
      <c r="Q204" s="42" t="n">
        <f aca="false">ROUND(AA204-G204,2)</f>
        <v>0</v>
      </c>
      <c r="R204" s="42" t="n">
        <f aca="false">ROUND(AB204-H204,2)</f>
        <v>0</v>
      </c>
      <c r="S204" s="42" t="n">
        <f aca="false">ROUND(AC204-I204,2)</f>
        <v>0</v>
      </c>
      <c r="T204" s="42" t="n">
        <f aca="false">ROUND(AD204-J204,2)</f>
        <v>0</v>
      </c>
      <c r="U204" s="42" t="n">
        <f aca="false">ROUND(AE204-K204,2)</f>
        <v>0</v>
      </c>
      <c r="V204" s="42" t="n">
        <f aca="false">ROUND(AF204-L204,2)</f>
        <v>0</v>
      </c>
      <c r="W204" s="42" t="n">
        <f aca="false">ROUND(AG204-M204,2)</f>
        <v>0</v>
      </c>
      <c r="X204" s="42" t="n">
        <f aca="false">ROUND(AH204-N204,2)</f>
        <v>0</v>
      </c>
      <c r="Y204" s="42" t="n">
        <f aca="false">ROUND(AI204-O204,2)</f>
        <v>0</v>
      </c>
      <c r="Z204" s="56" t="n">
        <f aca="false">ROUND(P203*(1+N(Debts!$D$5)/12),2)</f>
        <v>0</v>
      </c>
      <c r="AA204" s="56" t="n">
        <f aca="false">ROUND(Q203*(1+N(Debts!$D$6)/12),2)</f>
        <v>0</v>
      </c>
      <c r="AB204" s="56" t="n">
        <f aca="false">ROUND(R203*(1+N(Debts!$D$7)/12),2)</f>
        <v>0</v>
      </c>
      <c r="AC204" s="56" t="n">
        <f aca="false">ROUND(S203*(1+N(Debts!$D$8)/12),2)</f>
        <v>0</v>
      </c>
      <c r="AD204" s="56" t="n">
        <f aca="false">ROUND(T203*(1+N(Debts!$D$9)/12),2)</f>
        <v>0</v>
      </c>
      <c r="AE204" s="56" t="n">
        <f aca="false">ROUND(U203*(1+N(Debts!$D$10)/12),2)</f>
        <v>0</v>
      </c>
      <c r="AF204" s="56" t="n">
        <f aca="false">ROUND(V203*(1+N(Debts!$D$11)/12),2)</f>
        <v>0</v>
      </c>
      <c r="AG204" s="56" t="n">
        <f aca="false">ROUND(W203*(1+N(Debts!$D$12)/12),2)</f>
        <v>0</v>
      </c>
      <c r="AH204" s="56" t="n">
        <f aca="false">ROUND(X203*(1+N(Debts!$D$13)/12),2)</f>
        <v>0</v>
      </c>
      <c r="AI204" s="56" t="n">
        <f aca="false">ROUND(Y203*(1+N(Debts!$D$14)/12),2)</f>
        <v>0</v>
      </c>
      <c r="AJ204" s="56" t="n">
        <f aca="false">MIN(Z204,MAX(0,N(Debts!$E$5)))</f>
        <v>0</v>
      </c>
      <c r="AK204" s="56" t="n">
        <f aca="false">MIN(AA204,MAX(0,N(Debts!$E$6)))</f>
        <v>0</v>
      </c>
      <c r="AL204" s="56" t="n">
        <f aca="false">MIN(AB204,MAX(0,N(Debts!$E$7)))</f>
        <v>0</v>
      </c>
      <c r="AM204" s="56" t="n">
        <f aca="false">MIN(AC204,MAX(0,N(Debts!$E$8)))</f>
        <v>0</v>
      </c>
      <c r="AN204" s="56" t="n">
        <f aca="false">MIN(AD204,MAX(0,N(Debts!$E$9)))</f>
        <v>0</v>
      </c>
      <c r="AO204" s="56" t="n">
        <f aca="false">MIN(AE204,MAX(0,N(Debts!$E$10)))</f>
        <v>0</v>
      </c>
      <c r="AP204" s="56" t="n">
        <f aca="false">MIN(AF204,MAX(0,N(Debts!$E$11)))</f>
        <v>0</v>
      </c>
      <c r="AQ204" s="56" t="n">
        <f aca="false">MIN(AG204,MAX(0,N(Debts!$E$12)))</f>
        <v>0</v>
      </c>
      <c r="AR204" s="56" t="n">
        <f aca="false">MIN(AH204,MAX(0,N(Debts!$E$13)))</f>
        <v>0</v>
      </c>
      <c r="AS204" s="56" t="n">
        <f aca="false">MIN(AI204,MAX(0,N(Debts!$E$14)))</f>
        <v>0</v>
      </c>
    </row>
    <row r="205" customFormat="false" ht="15" hidden="false" customHeight="false" outlineLevel="0" collapsed="false">
      <c r="A205" s="53" t="n">
        <v>201</v>
      </c>
      <c r="B205" s="54" t="n">
        <f aca="false">EDATE('Start Here'!$B$8,200)</f>
        <v>52413</v>
      </c>
      <c r="C205" s="42" t="n">
        <f aca="false">SUM(F205:O205)</f>
        <v>0</v>
      </c>
      <c r="D205" s="42" t="n">
        <f aca="false">ROUND(SUM($Z205:$AI205)-SUM(P204:Y204),2)</f>
        <v>0</v>
      </c>
      <c r="E205" s="55" t="n">
        <f aca="false">SUM(P205:Y205)</f>
        <v>0</v>
      </c>
      <c r="F205" s="42" t="n">
        <f aca="false">AJ205+MIN(Z205-AJ205,MAX(0,'Start Here'!$B$10-SUM($AJ205:$AS205)-SUMPRODUCT(($Z$3:$AI$3&lt;Z$3)*($Z205:$AI205-$AJ205:$AS205))))</f>
        <v>0</v>
      </c>
      <c r="G205" s="42" t="n">
        <f aca="false">AK205+MIN(AA205-AK205,MAX(0,'Start Here'!$B$10-SUM($AJ205:$AS205)-SUMPRODUCT(($Z$3:$AI$3&lt;AA$3)*($Z205:$AI205-$AJ205:$AS205))))</f>
        <v>0</v>
      </c>
      <c r="H205" s="42" t="n">
        <f aca="false">AL205+MIN(AB205-AL205,MAX(0,'Start Here'!$B$10-SUM($AJ205:$AS205)-SUMPRODUCT(($Z$3:$AI$3&lt;AB$3)*($Z205:$AI205-$AJ205:$AS205))))</f>
        <v>0</v>
      </c>
      <c r="I205" s="42" t="n">
        <f aca="false">AM205+MIN(AC205-AM205,MAX(0,'Start Here'!$B$10-SUM($AJ205:$AS205)-SUMPRODUCT(($Z$3:$AI$3&lt;AC$3)*($Z205:$AI205-$AJ205:$AS205))))</f>
        <v>0</v>
      </c>
      <c r="J205" s="42" t="n">
        <f aca="false">AN205+MIN(AD205-AN205,MAX(0,'Start Here'!$B$10-SUM($AJ205:$AS205)-SUMPRODUCT(($Z$3:$AI$3&lt;AD$3)*($Z205:$AI205-$AJ205:$AS205))))</f>
        <v>0</v>
      </c>
      <c r="K205" s="42" t="n">
        <f aca="false">AO205+MIN(AE205-AO205,MAX(0,'Start Here'!$B$10-SUM($AJ205:$AS205)-SUMPRODUCT(($Z$3:$AI$3&lt;AE$3)*($Z205:$AI205-$AJ205:$AS205))))</f>
        <v>0</v>
      </c>
      <c r="L205" s="42" t="n">
        <f aca="false">AP205+MIN(AF205-AP205,MAX(0,'Start Here'!$B$10-SUM($AJ205:$AS205)-SUMPRODUCT(($Z$3:$AI$3&lt;AF$3)*($Z205:$AI205-$AJ205:$AS205))))</f>
        <v>0</v>
      </c>
      <c r="M205" s="42" t="n">
        <f aca="false">AQ205+MIN(AG205-AQ205,MAX(0,'Start Here'!$B$10-SUM($AJ205:$AS205)-SUMPRODUCT(($Z$3:$AI$3&lt;AG$3)*($Z205:$AI205-$AJ205:$AS205))))</f>
        <v>0</v>
      </c>
      <c r="N205" s="42" t="n">
        <f aca="false">AR205+MIN(AH205-AR205,MAX(0,'Start Here'!$B$10-SUM($AJ205:$AS205)-SUMPRODUCT(($Z$3:$AI$3&lt;AH$3)*($Z205:$AI205-$AJ205:$AS205))))</f>
        <v>0</v>
      </c>
      <c r="O205" s="42" t="n">
        <f aca="false">AS205+MIN(AI205-AS205,MAX(0,'Start Here'!$B$10-SUM($AJ205:$AS205)-SUMPRODUCT(($Z$3:$AI$3&lt;AI$3)*($Z205:$AI205-$AJ205:$AS205))))</f>
        <v>0</v>
      </c>
      <c r="P205" s="42" t="n">
        <f aca="false">ROUND(Z205-F205,2)</f>
        <v>0</v>
      </c>
      <c r="Q205" s="42" t="n">
        <f aca="false">ROUND(AA205-G205,2)</f>
        <v>0</v>
      </c>
      <c r="R205" s="42" t="n">
        <f aca="false">ROUND(AB205-H205,2)</f>
        <v>0</v>
      </c>
      <c r="S205" s="42" t="n">
        <f aca="false">ROUND(AC205-I205,2)</f>
        <v>0</v>
      </c>
      <c r="T205" s="42" t="n">
        <f aca="false">ROUND(AD205-J205,2)</f>
        <v>0</v>
      </c>
      <c r="U205" s="42" t="n">
        <f aca="false">ROUND(AE205-K205,2)</f>
        <v>0</v>
      </c>
      <c r="V205" s="42" t="n">
        <f aca="false">ROUND(AF205-L205,2)</f>
        <v>0</v>
      </c>
      <c r="W205" s="42" t="n">
        <f aca="false">ROUND(AG205-M205,2)</f>
        <v>0</v>
      </c>
      <c r="X205" s="42" t="n">
        <f aca="false">ROUND(AH205-N205,2)</f>
        <v>0</v>
      </c>
      <c r="Y205" s="42" t="n">
        <f aca="false">ROUND(AI205-O205,2)</f>
        <v>0</v>
      </c>
      <c r="Z205" s="56" t="n">
        <f aca="false">ROUND(P204*(1+N(Debts!$D$5)/12),2)</f>
        <v>0</v>
      </c>
      <c r="AA205" s="56" t="n">
        <f aca="false">ROUND(Q204*(1+N(Debts!$D$6)/12),2)</f>
        <v>0</v>
      </c>
      <c r="AB205" s="56" t="n">
        <f aca="false">ROUND(R204*(1+N(Debts!$D$7)/12),2)</f>
        <v>0</v>
      </c>
      <c r="AC205" s="56" t="n">
        <f aca="false">ROUND(S204*(1+N(Debts!$D$8)/12),2)</f>
        <v>0</v>
      </c>
      <c r="AD205" s="56" t="n">
        <f aca="false">ROUND(T204*(1+N(Debts!$D$9)/12),2)</f>
        <v>0</v>
      </c>
      <c r="AE205" s="56" t="n">
        <f aca="false">ROUND(U204*(1+N(Debts!$D$10)/12),2)</f>
        <v>0</v>
      </c>
      <c r="AF205" s="56" t="n">
        <f aca="false">ROUND(V204*(1+N(Debts!$D$11)/12),2)</f>
        <v>0</v>
      </c>
      <c r="AG205" s="56" t="n">
        <f aca="false">ROUND(W204*(1+N(Debts!$D$12)/12),2)</f>
        <v>0</v>
      </c>
      <c r="AH205" s="56" t="n">
        <f aca="false">ROUND(X204*(1+N(Debts!$D$13)/12),2)</f>
        <v>0</v>
      </c>
      <c r="AI205" s="56" t="n">
        <f aca="false">ROUND(Y204*(1+N(Debts!$D$14)/12),2)</f>
        <v>0</v>
      </c>
      <c r="AJ205" s="56" t="n">
        <f aca="false">MIN(Z205,MAX(0,N(Debts!$E$5)))</f>
        <v>0</v>
      </c>
      <c r="AK205" s="56" t="n">
        <f aca="false">MIN(AA205,MAX(0,N(Debts!$E$6)))</f>
        <v>0</v>
      </c>
      <c r="AL205" s="56" t="n">
        <f aca="false">MIN(AB205,MAX(0,N(Debts!$E$7)))</f>
        <v>0</v>
      </c>
      <c r="AM205" s="56" t="n">
        <f aca="false">MIN(AC205,MAX(0,N(Debts!$E$8)))</f>
        <v>0</v>
      </c>
      <c r="AN205" s="56" t="n">
        <f aca="false">MIN(AD205,MAX(0,N(Debts!$E$9)))</f>
        <v>0</v>
      </c>
      <c r="AO205" s="56" t="n">
        <f aca="false">MIN(AE205,MAX(0,N(Debts!$E$10)))</f>
        <v>0</v>
      </c>
      <c r="AP205" s="56" t="n">
        <f aca="false">MIN(AF205,MAX(0,N(Debts!$E$11)))</f>
        <v>0</v>
      </c>
      <c r="AQ205" s="56" t="n">
        <f aca="false">MIN(AG205,MAX(0,N(Debts!$E$12)))</f>
        <v>0</v>
      </c>
      <c r="AR205" s="56" t="n">
        <f aca="false">MIN(AH205,MAX(0,N(Debts!$E$13)))</f>
        <v>0</v>
      </c>
      <c r="AS205" s="56" t="n">
        <f aca="false">MIN(AI205,MAX(0,N(Debts!$E$14)))</f>
        <v>0</v>
      </c>
    </row>
    <row r="206" customFormat="false" ht="15" hidden="false" customHeight="false" outlineLevel="0" collapsed="false">
      <c r="A206" s="53" t="n">
        <v>202</v>
      </c>
      <c r="B206" s="54" t="n">
        <f aca="false">EDATE('Start Here'!$B$8,201)</f>
        <v>52444</v>
      </c>
      <c r="C206" s="42" t="n">
        <f aca="false">SUM(F206:O206)</f>
        <v>0</v>
      </c>
      <c r="D206" s="42" t="n">
        <f aca="false">ROUND(SUM($Z206:$AI206)-SUM(P205:Y205),2)</f>
        <v>0</v>
      </c>
      <c r="E206" s="55" t="n">
        <f aca="false">SUM(P206:Y206)</f>
        <v>0</v>
      </c>
      <c r="F206" s="42" t="n">
        <f aca="false">AJ206+MIN(Z206-AJ206,MAX(0,'Start Here'!$B$10-SUM($AJ206:$AS206)-SUMPRODUCT(($Z$3:$AI$3&lt;Z$3)*($Z206:$AI206-$AJ206:$AS206))))</f>
        <v>0</v>
      </c>
      <c r="G206" s="42" t="n">
        <f aca="false">AK206+MIN(AA206-AK206,MAX(0,'Start Here'!$B$10-SUM($AJ206:$AS206)-SUMPRODUCT(($Z$3:$AI$3&lt;AA$3)*($Z206:$AI206-$AJ206:$AS206))))</f>
        <v>0</v>
      </c>
      <c r="H206" s="42" t="n">
        <f aca="false">AL206+MIN(AB206-AL206,MAX(0,'Start Here'!$B$10-SUM($AJ206:$AS206)-SUMPRODUCT(($Z$3:$AI$3&lt;AB$3)*($Z206:$AI206-$AJ206:$AS206))))</f>
        <v>0</v>
      </c>
      <c r="I206" s="42" t="n">
        <f aca="false">AM206+MIN(AC206-AM206,MAX(0,'Start Here'!$B$10-SUM($AJ206:$AS206)-SUMPRODUCT(($Z$3:$AI$3&lt;AC$3)*($Z206:$AI206-$AJ206:$AS206))))</f>
        <v>0</v>
      </c>
      <c r="J206" s="42" t="n">
        <f aca="false">AN206+MIN(AD206-AN206,MAX(0,'Start Here'!$B$10-SUM($AJ206:$AS206)-SUMPRODUCT(($Z$3:$AI$3&lt;AD$3)*($Z206:$AI206-$AJ206:$AS206))))</f>
        <v>0</v>
      </c>
      <c r="K206" s="42" t="n">
        <f aca="false">AO206+MIN(AE206-AO206,MAX(0,'Start Here'!$B$10-SUM($AJ206:$AS206)-SUMPRODUCT(($Z$3:$AI$3&lt;AE$3)*($Z206:$AI206-$AJ206:$AS206))))</f>
        <v>0</v>
      </c>
      <c r="L206" s="42" t="n">
        <f aca="false">AP206+MIN(AF206-AP206,MAX(0,'Start Here'!$B$10-SUM($AJ206:$AS206)-SUMPRODUCT(($Z$3:$AI$3&lt;AF$3)*($Z206:$AI206-$AJ206:$AS206))))</f>
        <v>0</v>
      </c>
      <c r="M206" s="42" t="n">
        <f aca="false">AQ206+MIN(AG206-AQ206,MAX(0,'Start Here'!$B$10-SUM($AJ206:$AS206)-SUMPRODUCT(($Z$3:$AI$3&lt;AG$3)*($Z206:$AI206-$AJ206:$AS206))))</f>
        <v>0</v>
      </c>
      <c r="N206" s="42" t="n">
        <f aca="false">AR206+MIN(AH206-AR206,MAX(0,'Start Here'!$B$10-SUM($AJ206:$AS206)-SUMPRODUCT(($Z$3:$AI$3&lt;AH$3)*($Z206:$AI206-$AJ206:$AS206))))</f>
        <v>0</v>
      </c>
      <c r="O206" s="42" t="n">
        <f aca="false">AS206+MIN(AI206-AS206,MAX(0,'Start Here'!$B$10-SUM($AJ206:$AS206)-SUMPRODUCT(($Z$3:$AI$3&lt;AI$3)*($Z206:$AI206-$AJ206:$AS206))))</f>
        <v>0</v>
      </c>
      <c r="P206" s="42" t="n">
        <f aca="false">ROUND(Z206-F206,2)</f>
        <v>0</v>
      </c>
      <c r="Q206" s="42" t="n">
        <f aca="false">ROUND(AA206-G206,2)</f>
        <v>0</v>
      </c>
      <c r="R206" s="42" t="n">
        <f aca="false">ROUND(AB206-H206,2)</f>
        <v>0</v>
      </c>
      <c r="S206" s="42" t="n">
        <f aca="false">ROUND(AC206-I206,2)</f>
        <v>0</v>
      </c>
      <c r="T206" s="42" t="n">
        <f aca="false">ROUND(AD206-J206,2)</f>
        <v>0</v>
      </c>
      <c r="U206" s="42" t="n">
        <f aca="false">ROUND(AE206-K206,2)</f>
        <v>0</v>
      </c>
      <c r="V206" s="42" t="n">
        <f aca="false">ROUND(AF206-L206,2)</f>
        <v>0</v>
      </c>
      <c r="W206" s="42" t="n">
        <f aca="false">ROUND(AG206-M206,2)</f>
        <v>0</v>
      </c>
      <c r="X206" s="42" t="n">
        <f aca="false">ROUND(AH206-N206,2)</f>
        <v>0</v>
      </c>
      <c r="Y206" s="42" t="n">
        <f aca="false">ROUND(AI206-O206,2)</f>
        <v>0</v>
      </c>
      <c r="Z206" s="56" t="n">
        <f aca="false">ROUND(P205*(1+N(Debts!$D$5)/12),2)</f>
        <v>0</v>
      </c>
      <c r="AA206" s="56" t="n">
        <f aca="false">ROUND(Q205*(1+N(Debts!$D$6)/12),2)</f>
        <v>0</v>
      </c>
      <c r="AB206" s="56" t="n">
        <f aca="false">ROUND(R205*(1+N(Debts!$D$7)/12),2)</f>
        <v>0</v>
      </c>
      <c r="AC206" s="56" t="n">
        <f aca="false">ROUND(S205*(1+N(Debts!$D$8)/12),2)</f>
        <v>0</v>
      </c>
      <c r="AD206" s="56" t="n">
        <f aca="false">ROUND(T205*(1+N(Debts!$D$9)/12),2)</f>
        <v>0</v>
      </c>
      <c r="AE206" s="56" t="n">
        <f aca="false">ROUND(U205*(1+N(Debts!$D$10)/12),2)</f>
        <v>0</v>
      </c>
      <c r="AF206" s="56" t="n">
        <f aca="false">ROUND(V205*(1+N(Debts!$D$11)/12),2)</f>
        <v>0</v>
      </c>
      <c r="AG206" s="56" t="n">
        <f aca="false">ROUND(W205*(1+N(Debts!$D$12)/12),2)</f>
        <v>0</v>
      </c>
      <c r="AH206" s="56" t="n">
        <f aca="false">ROUND(X205*(1+N(Debts!$D$13)/12),2)</f>
        <v>0</v>
      </c>
      <c r="AI206" s="56" t="n">
        <f aca="false">ROUND(Y205*(1+N(Debts!$D$14)/12),2)</f>
        <v>0</v>
      </c>
      <c r="AJ206" s="56" t="n">
        <f aca="false">MIN(Z206,MAX(0,N(Debts!$E$5)))</f>
        <v>0</v>
      </c>
      <c r="AK206" s="56" t="n">
        <f aca="false">MIN(AA206,MAX(0,N(Debts!$E$6)))</f>
        <v>0</v>
      </c>
      <c r="AL206" s="56" t="n">
        <f aca="false">MIN(AB206,MAX(0,N(Debts!$E$7)))</f>
        <v>0</v>
      </c>
      <c r="AM206" s="56" t="n">
        <f aca="false">MIN(AC206,MAX(0,N(Debts!$E$8)))</f>
        <v>0</v>
      </c>
      <c r="AN206" s="56" t="n">
        <f aca="false">MIN(AD206,MAX(0,N(Debts!$E$9)))</f>
        <v>0</v>
      </c>
      <c r="AO206" s="56" t="n">
        <f aca="false">MIN(AE206,MAX(0,N(Debts!$E$10)))</f>
        <v>0</v>
      </c>
      <c r="AP206" s="56" t="n">
        <f aca="false">MIN(AF206,MAX(0,N(Debts!$E$11)))</f>
        <v>0</v>
      </c>
      <c r="AQ206" s="56" t="n">
        <f aca="false">MIN(AG206,MAX(0,N(Debts!$E$12)))</f>
        <v>0</v>
      </c>
      <c r="AR206" s="56" t="n">
        <f aca="false">MIN(AH206,MAX(0,N(Debts!$E$13)))</f>
        <v>0</v>
      </c>
      <c r="AS206" s="56" t="n">
        <f aca="false">MIN(AI206,MAX(0,N(Debts!$E$14)))</f>
        <v>0</v>
      </c>
    </row>
    <row r="207" customFormat="false" ht="15" hidden="false" customHeight="false" outlineLevel="0" collapsed="false">
      <c r="A207" s="53" t="n">
        <v>203</v>
      </c>
      <c r="B207" s="54" t="n">
        <f aca="false">EDATE('Start Here'!$B$8,202)</f>
        <v>52475</v>
      </c>
      <c r="C207" s="42" t="n">
        <f aca="false">SUM(F207:O207)</f>
        <v>0</v>
      </c>
      <c r="D207" s="42" t="n">
        <f aca="false">ROUND(SUM($Z207:$AI207)-SUM(P206:Y206),2)</f>
        <v>0</v>
      </c>
      <c r="E207" s="55" t="n">
        <f aca="false">SUM(P207:Y207)</f>
        <v>0</v>
      </c>
      <c r="F207" s="42" t="n">
        <f aca="false">AJ207+MIN(Z207-AJ207,MAX(0,'Start Here'!$B$10-SUM($AJ207:$AS207)-SUMPRODUCT(($Z$3:$AI$3&lt;Z$3)*($Z207:$AI207-$AJ207:$AS207))))</f>
        <v>0</v>
      </c>
      <c r="G207" s="42" t="n">
        <f aca="false">AK207+MIN(AA207-AK207,MAX(0,'Start Here'!$B$10-SUM($AJ207:$AS207)-SUMPRODUCT(($Z$3:$AI$3&lt;AA$3)*($Z207:$AI207-$AJ207:$AS207))))</f>
        <v>0</v>
      </c>
      <c r="H207" s="42" t="n">
        <f aca="false">AL207+MIN(AB207-AL207,MAX(0,'Start Here'!$B$10-SUM($AJ207:$AS207)-SUMPRODUCT(($Z$3:$AI$3&lt;AB$3)*($Z207:$AI207-$AJ207:$AS207))))</f>
        <v>0</v>
      </c>
      <c r="I207" s="42" t="n">
        <f aca="false">AM207+MIN(AC207-AM207,MAX(0,'Start Here'!$B$10-SUM($AJ207:$AS207)-SUMPRODUCT(($Z$3:$AI$3&lt;AC$3)*($Z207:$AI207-$AJ207:$AS207))))</f>
        <v>0</v>
      </c>
      <c r="J207" s="42" t="n">
        <f aca="false">AN207+MIN(AD207-AN207,MAX(0,'Start Here'!$B$10-SUM($AJ207:$AS207)-SUMPRODUCT(($Z$3:$AI$3&lt;AD$3)*($Z207:$AI207-$AJ207:$AS207))))</f>
        <v>0</v>
      </c>
      <c r="K207" s="42" t="n">
        <f aca="false">AO207+MIN(AE207-AO207,MAX(0,'Start Here'!$B$10-SUM($AJ207:$AS207)-SUMPRODUCT(($Z$3:$AI$3&lt;AE$3)*($Z207:$AI207-$AJ207:$AS207))))</f>
        <v>0</v>
      </c>
      <c r="L207" s="42" t="n">
        <f aca="false">AP207+MIN(AF207-AP207,MAX(0,'Start Here'!$B$10-SUM($AJ207:$AS207)-SUMPRODUCT(($Z$3:$AI$3&lt;AF$3)*($Z207:$AI207-$AJ207:$AS207))))</f>
        <v>0</v>
      </c>
      <c r="M207" s="42" t="n">
        <f aca="false">AQ207+MIN(AG207-AQ207,MAX(0,'Start Here'!$B$10-SUM($AJ207:$AS207)-SUMPRODUCT(($Z$3:$AI$3&lt;AG$3)*($Z207:$AI207-$AJ207:$AS207))))</f>
        <v>0</v>
      </c>
      <c r="N207" s="42" t="n">
        <f aca="false">AR207+MIN(AH207-AR207,MAX(0,'Start Here'!$B$10-SUM($AJ207:$AS207)-SUMPRODUCT(($Z$3:$AI$3&lt;AH$3)*($Z207:$AI207-$AJ207:$AS207))))</f>
        <v>0</v>
      </c>
      <c r="O207" s="42" t="n">
        <f aca="false">AS207+MIN(AI207-AS207,MAX(0,'Start Here'!$B$10-SUM($AJ207:$AS207)-SUMPRODUCT(($Z$3:$AI$3&lt;AI$3)*($Z207:$AI207-$AJ207:$AS207))))</f>
        <v>0</v>
      </c>
      <c r="P207" s="42" t="n">
        <f aca="false">ROUND(Z207-F207,2)</f>
        <v>0</v>
      </c>
      <c r="Q207" s="42" t="n">
        <f aca="false">ROUND(AA207-G207,2)</f>
        <v>0</v>
      </c>
      <c r="R207" s="42" t="n">
        <f aca="false">ROUND(AB207-H207,2)</f>
        <v>0</v>
      </c>
      <c r="S207" s="42" t="n">
        <f aca="false">ROUND(AC207-I207,2)</f>
        <v>0</v>
      </c>
      <c r="T207" s="42" t="n">
        <f aca="false">ROUND(AD207-J207,2)</f>
        <v>0</v>
      </c>
      <c r="U207" s="42" t="n">
        <f aca="false">ROUND(AE207-K207,2)</f>
        <v>0</v>
      </c>
      <c r="V207" s="42" t="n">
        <f aca="false">ROUND(AF207-L207,2)</f>
        <v>0</v>
      </c>
      <c r="W207" s="42" t="n">
        <f aca="false">ROUND(AG207-M207,2)</f>
        <v>0</v>
      </c>
      <c r="X207" s="42" t="n">
        <f aca="false">ROUND(AH207-N207,2)</f>
        <v>0</v>
      </c>
      <c r="Y207" s="42" t="n">
        <f aca="false">ROUND(AI207-O207,2)</f>
        <v>0</v>
      </c>
      <c r="Z207" s="56" t="n">
        <f aca="false">ROUND(P206*(1+N(Debts!$D$5)/12),2)</f>
        <v>0</v>
      </c>
      <c r="AA207" s="56" t="n">
        <f aca="false">ROUND(Q206*(1+N(Debts!$D$6)/12),2)</f>
        <v>0</v>
      </c>
      <c r="AB207" s="56" t="n">
        <f aca="false">ROUND(R206*(1+N(Debts!$D$7)/12),2)</f>
        <v>0</v>
      </c>
      <c r="AC207" s="56" t="n">
        <f aca="false">ROUND(S206*(1+N(Debts!$D$8)/12),2)</f>
        <v>0</v>
      </c>
      <c r="AD207" s="56" t="n">
        <f aca="false">ROUND(T206*(1+N(Debts!$D$9)/12),2)</f>
        <v>0</v>
      </c>
      <c r="AE207" s="56" t="n">
        <f aca="false">ROUND(U206*(1+N(Debts!$D$10)/12),2)</f>
        <v>0</v>
      </c>
      <c r="AF207" s="56" t="n">
        <f aca="false">ROUND(V206*(1+N(Debts!$D$11)/12),2)</f>
        <v>0</v>
      </c>
      <c r="AG207" s="56" t="n">
        <f aca="false">ROUND(W206*(1+N(Debts!$D$12)/12),2)</f>
        <v>0</v>
      </c>
      <c r="AH207" s="56" t="n">
        <f aca="false">ROUND(X206*(1+N(Debts!$D$13)/12),2)</f>
        <v>0</v>
      </c>
      <c r="AI207" s="56" t="n">
        <f aca="false">ROUND(Y206*(1+N(Debts!$D$14)/12),2)</f>
        <v>0</v>
      </c>
      <c r="AJ207" s="56" t="n">
        <f aca="false">MIN(Z207,MAX(0,N(Debts!$E$5)))</f>
        <v>0</v>
      </c>
      <c r="AK207" s="56" t="n">
        <f aca="false">MIN(AA207,MAX(0,N(Debts!$E$6)))</f>
        <v>0</v>
      </c>
      <c r="AL207" s="56" t="n">
        <f aca="false">MIN(AB207,MAX(0,N(Debts!$E$7)))</f>
        <v>0</v>
      </c>
      <c r="AM207" s="56" t="n">
        <f aca="false">MIN(AC207,MAX(0,N(Debts!$E$8)))</f>
        <v>0</v>
      </c>
      <c r="AN207" s="56" t="n">
        <f aca="false">MIN(AD207,MAX(0,N(Debts!$E$9)))</f>
        <v>0</v>
      </c>
      <c r="AO207" s="56" t="n">
        <f aca="false">MIN(AE207,MAX(0,N(Debts!$E$10)))</f>
        <v>0</v>
      </c>
      <c r="AP207" s="56" t="n">
        <f aca="false">MIN(AF207,MAX(0,N(Debts!$E$11)))</f>
        <v>0</v>
      </c>
      <c r="AQ207" s="56" t="n">
        <f aca="false">MIN(AG207,MAX(0,N(Debts!$E$12)))</f>
        <v>0</v>
      </c>
      <c r="AR207" s="56" t="n">
        <f aca="false">MIN(AH207,MAX(0,N(Debts!$E$13)))</f>
        <v>0</v>
      </c>
      <c r="AS207" s="56" t="n">
        <f aca="false">MIN(AI207,MAX(0,N(Debts!$E$14)))</f>
        <v>0</v>
      </c>
    </row>
    <row r="208" customFormat="false" ht="15" hidden="false" customHeight="false" outlineLevel="0" collapsed="false">
      <c r="A208" s="53" t="n">
        <v>204</v>
      </c>
      <c r="B208" s="54" t="n">
        <f aca="false">EDATE('Start Here'!$B$8,203)</f>
        <v>52505</v>
      </c>
      <c r="C208" s="42" t="n">
        <f aca="false">SUM(F208:O208)</f>
        <v>0</v>
      </c>
      <c r="D208" s="42" t="n">
        <f aca="false">ROUND(SUM($Z208:$AI208)-SUM(P207:Y207),2)</f>
        <v>0</v>
      </c>
      <c r="E208" s="55" t="n">
        <f aca="false">SUM(P208:Y208)</f>
        <v>0</v>
      </c>
      <c r="F208" s="42" t="n">
        <f aca="false">AJ208+MIN(Z208-AJ208,MAX(0,'Start Here'!$B$10-SUM($AJ208:$AS208)-SUMPRODUCT(($Z$3:$AI$3&lt;Z$3)*($Z208:$AI208-$AJ208:$AS208))))</f>
        <v>0</v>
      </c>
      <c r="G208" s="42" t="n">
        <f aca="false">AK208+MIN(AA208-AK208,MAX(0,'Start Here'!$B$10-SUM($AJ208:$AS208)-SUMPRODUCT(($Z$3:$AI$3&lt;AA$3)*($Z208:$AI208-$AJ208:$AS208))))</f>
        <v>0</v>
      </c>
      <c r="H208" s="42" t="n">
        <f aca="false">AL208+MIN(AB208-AL208,MAX(0,'Start Here'!$B$10-SUM($AJ208:$AS208)-SUMPRODUCT(($Z$3:$AI$3&lt;AB$3)*($Z208:$AI208-$AJ208:$AS208))))</f>
        <v>0</v>
      </c>
      <c r="I208" s="42" t="n">
        <f aca="false">AM208+MIN(AC208-AM208,MAX(0,'Start Here'!$B$10-SUM($AJ208:$AS208)-SUMPRODUCT(($Z$3:$AI$3&lt;AC$3)*($Z208:$AI208-$AJ208:$AS208))))</f>
        <v>0</v>
      </c>
      <c r="J208" s="42" t="n">
        <f aca="false">AN208+MIN(AD208-AN208,MAX(0,'Start Here'!$B$10-SUM($AJ208:$AS208)-SUMPRODUCT(($Z$3:$AI$3&lt;AD$3)*($Z208:$AI208-$AJ208:$AS208))))</f>
        <v>0</v>
      </c>
      <c r="K208" s="42" t="n">
        <f aca="false">AO208+MIN(AE208-AO208,MAX(0,'Start Here'!$B$10-SUM($AJ208:$AS208)-SUMPRODUCT(($Z$3:$AI$3&lt;AE$3)*($Z208:$AI208-$AJ208:$AS208))))</f>
        <v>0</v>
      </c>
      <c r="L208" s="42" t="n">
        <f aca="false">AP208+MIN(AF208-AP208,MAX(0,'Start Here'!$B$10-SUM($AJ208:$AS208)-SUMPRODUCT(($Z$3:$AI$3&lt;AF$3)*($Z208:$AI208-$AJ208:$AS208))))</f>
        <v>0</v>
      </c>
      <c r="M208" s="42" t="n">
        <f aca="false">AQ208+MIN(AG208-AQ208,MAX(0,'Start Here'!$B$10-SUM($AJ208:$AS208)-SUMPRODUCT(($Z$3:$AI$3&lt;AG$3)*($Z208:$AI208-$AJ208:$AS208))))</f>
        <v>0</v>
      </c>
      <c r="N208" s="42" t="n">
        <f aca="false">AR208+MIN(AH208-AR208,MAX(0,'Start Here'!$B$10-SUM($AJ208:$AS208)-SUMPRODUCT(($Z$3:$AI$3&lt;AH$3)*($Z208:$AI208-$AJ208:$AS208))))</f>
        <v>0</v>
      </c>
      <c r="O208" s="42" t="n">
        <f aca="false">AS208+MIN(AI208-AS208,MAX(0,'Start Here'!$B$10-SUM($AJ208:$AS208)-SUMPRODUCT(($Z$3:$AI$3&lt;AI$3)*($Z208:$AI208-$AJ208:$AS208))))</f>
        <v>0</v>
      </c>
      <c r="P208" s="42" t="n">
        <f aca="false">ROUND(Z208-F208,2)</f>
        <v>0</v>
      </c>
      <c r="Q208" s="42" t="n">
        <f aca="false">ROUND(AA208-G208,2)</f>
        <v>0</v>
      </c>
      <c r="R208" s="42" t="n">
        <f aca="false">ROUND(AB208-H208,2)</f>
        <v>0</v>
      </c>
      <c r="S208" s="42" t="n">
        <f aca="false">ROUND(AC208-I208,2)</f>
        <v>0</v>
      </c>
      <c r="T208" s="42" t="n">
        <f aca="false">ROUND(AD208-J208,2)</f>
        <v>0</v>
      </c>
      <c r="U208" s="42" t="n">
        <f aca="false">ROUND(AE208-K208,2)</f>
        <v>0</v>
      </c>
      <c r="V208" s="42" t="n">
        <f aca="false">ROUND(AF208-L208,2)</f>
        <v>0</v>
      </c>
      <c r="W208" s="42" t="n">
        <f aca="false">ROUND(AG208-M208,2)</f>
        <v>0</v>
      </c>
      <c r="X208" s="42" t="n">
        <f aca="false">ROUND(AH208-N208,2)</f>
        <v>0</v>
      </c>
      <c r="Y208" s="42" t="n">
        <f aca="false">ROUND(AI208-O208,2)</f>
        <v>0</v>
      </c>
      <c r="Z208" s="56" t="n">
        <f aca="false">ROUND(P207*(1+N(Debts!$D$5)/12),2)</f>
        <v>0</v>
      </c>
      <c r="AA208" s="56" t="n">
        <f aca="false">ROUND(Q207*(1+N(Debts!$D$6)/12),2)</f>
        <v>0</v>
      </c>
      <c r="AB208" s="56" t="n">
        <f aca="false">ROUND(R207*(1+N(Debts!$D$7)/12),2)</f>
        <v>0</v>
      </c>
      <c r="AC208" s="56" t="n">
        <f aca="false">ROUND(S207*(1+N(Debts!$D$8)/12),2)</f>
        <v>0</v>
      </c>
      <c r="AD208" s="56" t="n">
        <f aca="false">ROUND(T207*(1+N(Debts!$D$9)/12),2)</f>
        <v>0</v>
      </c>
      <c r="AE208" s="56" t="n">
        <f aca="false">ROUND(U207*(1+N(Debts!$D$10)/12),2)</f>
        <v>0</v>
      </c>
      <c r="AF208" s="56" t="n">
        <f aca="false">ROUND(V207*(1+N(Debts!$D$11)/12),2)</f>
        <v>0</v>
      </c>
      <c r="AG208" s="56" t="n">
        <f aca="false">ROUND(W207*(1+N(Debts!$D$12)/12),2)</f>
        <v>0</v>
      </c>
      <c r="AH208" s="56" t="n">
        <f aca="false">ROUND(X207*(1+N(Debts!$D$13)/12),2)</f>
        <v>0</v>
      </c>
      <c r="AI208" s="56" t="n">
        <f aca="false">ROUND(Y207*(1+N(Debts!$D$14)/12),2)</f>
        <v>0</v>
      </c>
      <c r="AJ208" s="56" t="n">
        <f aca="false">MIN(Z208,MAX(0,N(Debts!$E$5)))</f>
        <v>0</v>
      </c>
      <c r="AK208" s="56" t="n">
        <f aca="false">MIN(AA208,MAX(0,N(Debts!$E$6)))</f>
        <v>0</v>
      </c>
      <c r="AL208" s="56" t="n">
        <f aca="false">MIN(AB208,MAX(0,N(Debts!$E$7)))</f>
        <v>0</v>
      </c>
      <c r="AM208" s="56" t="n">
        <f aca="false">MIN(AC208,MAX(0,N(Debts!$E$8)))</f>
        <v>0</v>
      </c>
      <c r="AN208" s="56" t="n">
        <f aca="false">MIN(AD208,MAX(0,N(Debts!$E$9)))</f>
        <v>0</v>
      </c>
      <c r="AO208" s="56" t="n">
        <f aca="false">MIN(AE208,MAX(0,N(Debts!$E$10)))</f>
        <v>0</v>
      </c>
      <c r="AP208" s="56" t="n">
        <f aca="false">MIN(AF208,MAX(0,N(Debts!$E$11)))</f>
        <v>0</v>
      </c>
      <c r="AQ208" s="56" t="n">
        <f aca="false">MIN(AG208,MAX(0,N(Debts!$E$12)))</f>
        <v>0</v>
      </c>
      <c r="AR208" s="56" t="n">
        <f aca="false">MIN(AH208,MAX(0,N(Debts!$E$13)))</f>
        <v>0</v>
      </c>
      <c r="AS208" s="56" t="n">
        <f aca="false">MIN(AI208,MAX(0,N(Debts!$E$14)))</f>
        <v>0</v>
      </c>
    </row>
    <row r="209" customFormat="false" ht="15" hidden="false" customHeight="false" outlineLevel="0" collapsed="false">
      <c r="A209" s="53" t="n">
        <v>205</v>
      </c>
      <c r="B209" s="54" t="n">
        <f aca="false">EDATE('Start Here'!$B$8,204)</f>
        <v>52536</v>
      </c>
      <c r="C209" s="42" t="n">
        <f aca="false">SUM(F209:O209)</f>
        <v>0</v>
      </c>
      <c r="D209" s="42" t="n">
        <f aca="false">ROUND(SUM($Z209:$AI209)-SUM(P208:Y208),2)</f>
        <v>0</v>
      </c>
      <c r="E209" s="55" t="n">
        <f aca="false">SUM(P209:Y209)</f>
        <v>0</v>
      </c>
      <c r="F209" s="42" t="n">
        <f aca="false">AJ209+MIN(Z209-AJ209,MAX(0,'Start Here'!$B$10-SUM($AJ209:$AS209)-SUMPRODUCT(($Z$3:$AI$3&lt;Z$3)*($Z209:$AI209-$AJ209:$AS209))))</f>
        <v>0</v>
      </c>
      <c r="G209" s="42" t="n">
        <f aca="false">AK209+MIN(AA209-AK209,MAX(0,'Start Here'!$B$10-SUM($AJ209:$AS209)-SUMPRODUCT(($Z$3:$AI$3&lt;AA$3)*($Z209:$AI209-$AJ209:$AS209))))</f>
        <v>0</v>
      </c>
      <c r="H209" s="42" t="n">
        <f aca="false">AL209+MIN(AB209-AL209,MAX(0,'Start Here'!$B$10-SUM($AJ209:$AS209)-SUMPRODUCT(($Z$3:$AI$3&lt;AB$3)*($Z209:$AI209-$AJ209:$AS209))))</f>
        <v>0</v>
      </c>
      <c r="I209" s="42" t="n">
        <f aca="false">AM209+MIN(AC209-AM209,MAX(0,'Start Here'!$B$10-SUM($AJ209:$AS209)-SUMPRODUCT(($Z$3:$AI$3&lt;AC$3)*($Z209:$AI209-$AJ209:$AS209))))</f>
        <v>0</v>
      </c>
      <c r="J209" s="42" t="n">
        <f aca="false">AN209+MIN(AD209-AN209,MAX(0,'Start Here'!$B$10-SUM($AJ209:$AS209)-SUMPRODUCT(($Z$3:$AI$3&lt;AD$3)*($Z209:$AI209-$AJ209:$AS209))))</f>
        <v>0</v>
      </c>
      <c r="K209" s="42" t="n">
        <f aca="false">AO209+MIN(AE209-AO209,MAX(0,'Start Here'!$B$10-SUM($AJ209:$AS209)-SUMPRODUCT(($Z$3:$AI$3&lt;AE$3)*($Z209:$AI209-$AJ209:$AS209))))</f>
        <v>0</v>
      </c>
      <c r="L209" s="42" t="n">
        <f aca="false">AP209+MIN(AF209-AP209,MAX(0,'Start Here'!$B$10-SUM($AJ209:$AS209)-SUMPRODUCT(($Z$3:$AI$3&lt;AF$3)*($Z209:$AI209-$AJ209:$AS209))))</f>
        <v>0</v>
      </c>
      <c r="M209" s="42" t="n">
        <f aca="false">AQ209+MIN(AG209-AQ209,MAX(0,'Start Here'!$B$10-SUM($AJ209:$AS209)-SUMPRODUCT(($Z$3:$AI$3&lt;AG$3)*($Z209:$AI209-$AJ209:$AS209))))</f>
        <v>0</v>
      </c>
      <c r="N209" s="42" t="n">
        <f aca="false">AR209+MIN(AH209-AR209,MAX(0,'Start Here'!$B$10-SUM($AJ209:$AS209)-SUMPRODUCT(($Z$3:$AI$3&lt;AH$3)*($Z209:$AI209-$AJ209:$AS209))))</f>
        <v>0</v>
      </c>
      <c r="O209" s="42" t="n">
        <f aca="false">AS209+MIN(AI209-AS209,MAX(0,'Start Here'!$B$10-SUM($AJ209:$AS209)-SUMPRODUCT(($Z$3:$AI$3&lt;AI$3)*($Z209:$AI209-$AJ209:$AS209))))</f>
        <v>0</v>
      </c>
      <c r="P209" s="42" t="n">
        <f aca="false">ROUND(Z209-F209,2)</f>
        <v>0</v>
      </c>
      <c r="Q209" s="42" t="n">
        <f aca="false">ROUND(AA209-G209,2)</f>
        <v>0</v>
      </c>
      <c r="R209" s="42" t="n">
        <f aca="false">ROUND(AB209-H209,2)</f>
        <v>0</v>
      </c>
      <c r="S209" s="42" t="n">
        <f aca="false">ROUND(AC209-I209,2)</f>
        <v>0</v>
      </c>
      <c r="T209" s="42" t="n">
        <f aca="false">ROUND(AD209-J209,2)</f>
        <v>0</v>
      </c>
      <c r="U209" s="42" t="n">
        <f aca="false">ROUND(AE209-K209,2)</f>
        <v>0</v>
      </c>
      <c r="V209" s="42" t="n">
        <f aca="false">ROUND(AF209-L209,2)</f>
        <v>0</v>
      </c>
      <c r="W209" s="42" t="n">
        <f aca="false">ROUND(AG209-M209,2)</f>
        <v>0</v>
      </c>
      <c r="X209" s="42" t="n">
        <f aca="false">ROUND(AH209-N209,2)</f>
        <v>0</v>
      </c>
      <c r="Y209" s="42" t="n">
        <f aca="false">ROUND(AI209-O209,2)</f>
        <v>0</v>
      </c>
      <c r="Z209" s="56" t="n">
        <f aca="false">ROUND(P208*(1+N(Debts!$D$5)/12),2)</f>
        <v>0</v>
      </c>
      <c r="AA209" s="56" t="n">
        <f aca="false">ROUND(Q208*(1+N(Debts!$D$6)/12),2)</f>
        <v>0</v>
      </c>
      <c r="AB209" s="56" t="n">
        <f aca="false">ROUND(R208*(1+N(Debts!$D$7)/12),2)</f>
        <v>0</v>
      </c>
      <c r="AC209" s="56" t="n">
        <f aca="false">ROUND(S208*(1+N(Debts!$D$8)/12),2)</f>
        <v>0</v>
      </c>
      <c r="AD209" s="56" t="n">
        <f aca="false">ROUND(T208*(1+N(Debts!$D$9)/12),2)</f>
        <v>0</v>
      </c>
      <c r="AE209" s="56" t="n">
        <f aca="false">ROUND(U208*(1+N(Debts!$D$10)/12),2)</f>
        <v>0</v>
      </c>
      <c r="AF209" s="56" t="n">
        <f aca="false">ROUND(V208*(1+N(Debts!$D$11)/12),2)</f>
        <v>0</v>
      </c>
      <c r="AG209" s="56" t="n">
        <f aca="false">ROUND(W208*(1+N(Debts!$D$12)/12),2)</f>
        <v>0</v>
      </c>
      <c r="AH209" s="56" t="n">
        <f aca="false">ROUND(X208*(1+N(Debts!$D$13)/12),2)</f>
        <v>0</v>
      </c>
      <c r="AI209" s="56" t="n">
        <f aca="false">ROUND(Y208*(1+N(Debts!$D$14)/12),2)</f>
        <v>0</v>
      </c>
      <c r="AJ209" s="56" t="n">
        <f aca="false">MIN(Z209,MAX(0,N(Debts!$E$5)))</f>
        <v>0</v>
      </c>
      <c r="AK209" s="56" t="n">
        <f aca="false">MIN(AA209,MAX(0,N(Debts!$E$6)))</f>
        <v>0</v>
      </c>
      <c r="AL209" s="56" t="n">
        <f aca="false">MIN(AB209,MAX(0,N(Debts!$E$7)))</f>
        <v>0</v>
      </c>
      <c r="AM209" s="56" t="n">
        <f aca="false">MIN(AC209,MAX(0,N(Debts!$E$8)))</f>
        <v>0</v>
      </c>
      <c r="AN209" s="56" t="n">
        <f aca="false">MIN(AD209,MAX(0,N(Debts!$E$9)))</f>
        <v>0</v>
      </c>
      <c r="AO209" s="56" t="n">
        <f aca="false">MIN(AE209,MAX(0,N(Debts!$E$10)))</f>
        <v>0</v>
      </c>
      <c r="AP209" s="56" t="n">
        <f aca="false">MIN(AF209,MAX(0,N(Debts!$E$11)))</f>
        <v>0</v>
      </c>
      <c r="AQ209" s="56" t="n">
        <f aca="false">MIN(AG209,MAX(0,N(Debts!$E$12)))</f>
        <v>0</v>
      </c>
      <c r="AR209" s="56" t="n">
        <f aca="false">MIN(AH209,MAX(0,N(Debts!$E$13)))</f>
        <v>0</v>
      </c>
      <c r="AS209" s="56" t="n">
        <f aca="false">MIN(AI209,MAX(0,N(Debts!$E$14)))</f>
        <v>0</v>
      </c>
    </row>
    <row r="210" customFormat="false" ht="15" hidden="false" customHeight="false" outlineLevel="0" collapsed="false">
      <c r="A210" s="53" t="n">
        <v>206</v>
      </c>
      <c r="B210" s="54" t="n">
        <f aca="false">EDATE('Start Here'!$B$8,205)</f>
        <v>52566</v>
      </c>
      <c r="C210" s="42" t="n">
        <f aca="false">SUM(F210:O210)</f>
        <v>0</v>
      </c>
      <c r="D210" s="42" t="n">
        <f aca="false">ROUND(SUM($Z210:$AI210)-SUM(P209:Y209),2)</f>
        <v>0</v>
      </c>
      <c r="E210" s="55" t="n">
        <f aca="false">SUM(P210:Y210)</f>
        <v>0</v>
      </c>
      <c r="F210" s="42" t="n">
        <f aca="false">AJ210+MIN(Z210-AJ210,MAX(0,'Start Here'!$B$10-SUM($AJ210:$AS210)-SUMPRODUCT(($Z$3:$AI$3&lt;Z$3)*($Z210:$AI210-$AJ210:$AS210))))</f>
        <v>0</v>
      </c>
      <c r="G210" s="42" t="n">
        <f aca="false">AK210+MIN(AA210-AK210,MAX(0,'Start Here'!$B$10-SUM($AJ210:$AS210)-SUMPRODUCT(($Z$3:$AI$3&lt;AA$3)*($Z210:$AI210-$AJ210:$AS210))))</f>
        <v>0</v>
      </c>
      <c r="H210" s="42" t="n">
        <f aca="false">AL210+MIN(AB210-AL210,MAX(0,'Start Here'!$B$10-SUM($AJ210:$AS210)-SUMPRODUCT(($Z$3:$AI$3&lt;AB$3)*($Z210:$AI210-$AJ210:$AS210))))</f>
        <v>0</v>
      </c>
      <c r="I210" s="42" t="n">
        <f aca="false">AM210+MIN(AC210-AM210,MAX(0,'Start Here'!$B$10-SUM($AJ210:$AS210)-SUMPRODUCT(($Z$3:$AI$3&lt;AC$3)*($Z210:$AI210-$AJ210:$AS210))))</f>
        <v>0</v>
      </c>
      <c r="J210" s="42" t="n">
        <f aca="false">AN210+MIN(AD210-AN210,MAX(0,'Start Here'!$B$10-SUM($AJ210:$AS210)-SUMPRODUCT(($Z$3:$AI$3&lt;AD$3)*($Z210:$AI210-$AJ210:$AS210))))</f>
        <v>0</v>
      </c>
      <c r="K210" s="42" t="n">
        <f aca="false">AO210+MIN(AE210-AO210,MAX(0,'Start Here'!$B$10-SUM($AJ210:$AS210)-SUMPRODUCT(($Z$3:$AI$3&lt;AE$3)*($Z210:$AI210-$AJ210:$AS210))))</f>
        <v>0</v>
      </c>
      <c r="L210" s="42" t="n">
        <f aca="false">AP210+MIN(AF210-AP210,MAX(0,'Start Here'!$B$10-SUM($AJ210:$AS210)-SUMPRODUCT(($Z$3:$AI$3&lt;AF$3)*($Z210:$AI210-$AJ210:$AS210))))</f>
        <v>0</v>
      </c>
      <c r="M210" s="42" t="n">
        <f aca="false">AQ210+MIN(AG210-AQ210,MAX(0,'Start Here'!$B$10-SUM($AJ210:$AS210)-SUMPRODUCT(($Z$3:$AI$3&lt;AG$3)*($Z210:$AI210-$AJ210:$AS210))))</f>
        <v>0</v>
      </c>
      <c r="N210" s="42" t="n">
        <f aca="false">AR210+MIN(AH210-AR210,MAX(0,'Start Here'!$B$10-SUM($AJ210:$AS210)-SUMPRODUCT(($Z$3:$AI$3&lt;AH$3)*($Z210:$AI210-$AJ210:$AS210))))</f>
        <v>0</v>
      </c>
      <c r="O210" s="42" t="n">
        <f aca="false">AS210+MIN(AI210-AS210,MAX(0,'Start Here'!$B$10-SUM($AJ210:$AS210)-SUMPRODUCT(($Z$3:$AI$3&lt;AI$3)*($Z210:$AI210-$AJ210:$AS210))))</f>
        <v>0</v>
      </c>
      <c r="P210" s="42" t="n">
        <f aca="false">ROUND(Z210-F210,2)</f>
        <v>0</v>
      </c>
      <c r="Q210" s="42" t="n">
        <f aca="false">ROUND(AA210-G210,2)</f>
        <v>0</v>
      </c>
      <c r="R210" s="42" t="n">
        <f aca="false">ROUND(AB210-H210,2)</f>
        <v>0</v>
      </c>
      <c r="S210" s="42" t="n">
        <f aca="false">ROUND(AC210-I210,2)</f>
        <v>0</v>
      </c>
      <c r="T210" s="42" t="n">
        <f aca="false">ROUND(AD210-J210,2)</f>
        <v>0</v>
      </c>
      <c r="U210" s="42" t="n">
        <f aca="false">ROUND(AE210-K210,2)</f>
        <v>0</v>
      </c>
      <c r="V210" s="42" t="n">
        <f aca="false">ROUND(AF210-L210,2)</f>
        <v>0</v>
      </c>
      <c r="W210" s="42" t="n">
        <f aca="false">ROUND(AG210-M210,2)</f>
        <v>0</v>
      </c>
      <c r="X210" s="42" t="n">
        <f aca="false">ROUND(AH210-N210,2)</f>
        <v>0</v>
      </c>
      <c r="Y210" s="42" t="n">
        <f aca="false">ROUND(AI210-O210,2)</f>
        <v>0</v>
      </c>
      <c r="Z210" s="56" t="n">
        <f aca="false">ROUND(P209*(1+N(Debts!$D$5)/12),2)</f>
        <v>0</v>
      </c>
      <c r="AA210" s="56" t="n">
        <f aca="false">ROUND(Q209*(1+N(Debts!$D$6)/12),2)</f>
        <v>0</v>
      </c>
      <c r="AB210" s="56" t="n">
        <f aca="false">ROUND(R209*(1+N(Debts!$D$7)/12),2)</f>
        <v>0</v>
      </c>
      <c r="AC210" s="56" t="n">
        <f aca="false">ROUND(S209*(1+N(Debts!$D$8)/12),2)</f>
        <v>0</v>
      </c>
      <c r="AD210" s="56" t="n">
        <f aca="false">ROUND(T209*(1+N(Debts!$D$9)/12),2)</f>
        <v>0</v>
      </c>
      <c r="AE210" s="56" t="n">
        <f aca="false">ROUND(U209*(1+N(Debts!$D$10)/12),2)</f>
        <v>0</v>
      </c>
      <c r="AF210" s="56" t="n">
        <f aca="false">ROUND(V209*(1+N(Debts!$D$11)/12),2)</f>
        <v>0</v>
      </c>
      <c r="AG210" s="56" t="n">
        <f aca="false">ROUND(W209*(1+N(Debts!$D$12)/12),2)</f>
        <v>0</v>
      </c>
      <c r="AH210" s="56" t="n">
        <f aca="false">ROUND(X209*(1+N(Debts!$D$13)/12),2)</f>
        <v>0</v>
      </c>
      <c r="AI210" s="56" t="n">
        <f aca="false">ROUND(Y209*(1+N(Debts!$D$14)/12),2)</f>
        <v>0</v>
      </c>
      <c r="AJ210" s="56" t="n">
        <f aca="false">MIN(Z210,MAX(0,N(Debts!$E$5)))</f>
        <v>0</v>
      </c>
      <c r="AK210" s="56" t="n">
        <f aca="false">MIN(AA210,MAX(0,N(Debts!$E$6)))</f>
        <v>0</v>
      </c>
      <c r="AL210" s="56" t="n">
        <f aca="false">MIN(AB210,MAX(0,N(Debts!$E$7)))</f>
        <v>0</v>
      </c>
      <c r="AM210" s="56" t="n">
        <f aca="false">MIN(AC210,MAX(0,N(Debts!$E$8)))</f>
        <v>0</v>
      </c>
      <c r="AN210" s="56" t="n">
        <f aca="false">MIN(AD210,MAX(0,N(Debts!$E$9)))</f>
        <v>0</v>
      </c>
      <c r="AO210" s="56" t="n">
        <f aca="false">MIN(AE210,MAX(0,N(Debts!$E$10)))</f>
        <v>0</v>
      </c>
      <c r="AP210" s="56" t="n">
        <f aca="false">MIN(AF210,MAX(0,N(Debts!$E$11)))</f>
        <v>0</v>
      </c>
      <c r="AQ210" s="56" t="n">
        <f aca="false">MIN(AG210,MAX(0,N(Debts!$E$12)))</f>
        <v>0</v>
      </c>
      <c r="AR210" s="56" t="n">
        <f aca="false">MIN(AH210,MAX(0,N(Debts!$E$13)))</f>
        <v>0</v>
      </c>
      <c r="AS210" s="56" t="n">
        <f aca="false">MIN(AI210,MAX(0,N(Debts!$E$14)))</f>
        <v>0</v>
      </c>
    </row>
    <row r="211" customFormat="false" ht="15" hidden="false" customHeight="false" outlineLevel="0" collapsed="false">
      <c r="A211" s="53" t="n">
        <v>207</v>
      </c>
      <c r="B211" s="54" t="n">
        <f aca="false">EDATE('Start Here'!$B$8,206)</f>
        <v>52597</v>
      </c>
      <c r="C211" s="42" t="n">
        <f aca="false">SUM(F211:O211)</f>
        <v>0</v>
      </c>
      <c r="D211" s="42" t="n">
        <f aca="false">ROUND(SUM($Z211:$AI211)-SUM(P210:Y210),2)</f>
        <v>0</v>
      </c>
      <c r="E211" s="55" t="n">
        <f aca="false">SUM(P211:Y211)</f>
        <v>0</v>
      </c>
      <c r="F211" s="42" t="n">
        <f aca="false">AJ211+MIN(Z211-AJ211,MAX(0,'Start Here'!$B$10-SUM($AJ211:$AS211)-SUMPRODUCT(($Z$3:$AI$3&lt;Z$3)*($Z211:$AI211-$AJ211:$AS211))))</f>
        <v>0</v>
      </c>
      <c r="G211" s="42" t="n">
        <f aca="false">AK211+MIN(AA211-AK211,MAX(0,'Start Here'!$B$10-SUM($AJ211:$AS211)-SUMPRODUCT(($Z$3:$AI$3&lt;AA$3)*($Z211:$AI211-$AJ211:$AS211))))</f>
        <v>0</v>
      </c>
      <c r="H211" s="42" t="n">
        <f aca="false">AL211+MIN(AB211-AL211,MAX(0,'Start Here'!$B$10-SUM($AJ211:$AS211)-SUMPRODUCT(($Z$3:$AI$3&lt;AB$3)*($Z211:$AI211-$AJ211:$AS211))))</f>
        <v>0</v>
      </c>
      <c r="I211" s="42" t="n">
        <f aca="false">AM211+MIN(AC211-AM211,MAX(0,'Start Here'!$B$10-SUM($AJ211:$AS211)-SUMPRODUCT(($Z$3:$AI$3&lt;AC$3)*($Z211:$AI211-$AJ211:$AS211))))</f>
        <v>0</v>
      </c>
      <c r="J211" s="42" t="n">
        <f aca="false">AN211+MIN(AD211-AN211,MAX(0,'Start Here'!$B$10-SUM($AJ211:$AS211)-SUMPRODUCT(($Z$3:$AI$3&lt;AD$3)*($Z211:$AI211-$AJ211:$AS211))))</f>
        <v>0</v>
      </c>
      <c r="K211" s="42" t="n">
        <f aca="false">AO211+MIN(AE211-AO211,MAX(0,'Start Here'!$B$10-SUM($AJ211:$AS211)-SUMPRODUCT(($Z$3:$AI$3&lt;AE$3)*($Z211:$AI211-$AJ211:$AS211))))</f>
        <v>0</v>
      </c>
      <c r="L211" s="42" t="n">
        <f aca="false">AP211+MIN(AF211-AP211,MAX(0,'Start Here'!$B$10-SUM($AJ211:$AS211)-SUMPRODUCT(($Z$3:$AI$3&lt;AF$3)*($Z211:$AI211-$AJ211:$AS211))))</f>
        <v>0</v>
      </c>
      <c r="M211" s="42" t="n">
        <f aca="false">AQ211+MIN(AG211-AQ211,MAX(0,'Start Here'!$B$10-SUM($AJ211:$AS211)-SUMPRODUCT(($Z$3:$AI$3&lt;AG$3)*($Z211:$AI211-$AJ211:$AS211))))</f>
        <v>0</v>
      </c>
      <c r="N211" s="42" t="n">
        <f aca="false">AR211+MIN(AH211-AR211,MAX(0,'Start Here'!$B$10-SUM($AJ211:$AS211)-SUMPRODUCT(($Z$3:$AI$3&lt;AH$3)*($Z211:$AI211-$AJ211:$AS211))))</f>
        <v>0</v>
      </c>
      <c r="O211" s="42" t="n">
        <f aca="false">AS211+MIN(AI211-AS211,MAX(0,'Start Here'!$B$10-SUM($AJ211:$AS211)-SUMPRODUCT(($Z$3:$AI$3&lt;AI$3)*($Z211:$AI211-$AJ211:$AS211))))</f>
        <v>0</v>
      </c>
      <c r="P211" s="42" t="n">
        <f aca="false">ROUND(Z211-F211,2)</f>
        <v>0</v>
      </c>
      <c r="Q211" s="42" t="n">
        <f aca="false">ROUND(AA211-G211,2)</f>
        <v>0</v>
      </c>
      <c r="R211" s="42" t="n">
        <f aca="false">ROUND(AB211-H211,2)</f>
        <v>0</v>
      </c>
      <c r="S211" s="42" t="n">
        <f aca="false">ROUND(AC211-I211,2)</f>
        <v>0</v>
      </c>
      <c r="T211" s="42" t="n">
        <f aca="false">ROUND(AD211-J211,2)</f>
        <v>0</v>
      </c>
      <c r="U211" s="42" t="n">
        <f aca="false">ROUND(AE211-K211,2)</f>
        <v>0</v>
      </c>
      <c r="V211" s="42" t="n">
        <f aca="false">ROUND(AF211-L211,2)</f>
        <v>0</v>
      </c>
      <c r="W211" s="42" t="n">
        <f aca="false">ROUND(AG211-M211,2)</f>
        <v>0</v>
      </c>
      <c r="X211" s="42" t="n">
        <f aca="false">ROUND(AH211-N211,2)</f>
        <v>0</v>
      </c>
      <c r="Y211" s="42" t="n">
        <f aca="false">ROUND(AI211-O211,2)</f>
        <v>0</v>
      </c>
      <c r="Z211" s="56" t="n">
        <f aca="false">ROUND(P210*(1+N(Debts!$D$5)/12),2)</f>
        <v>0</v>
      </c>
      <c r="AA211" s="56" t="n">
        <f aca="false">ROUND(Q210*(1+N(Debts!$D$6)/12),2)</f>
        <v>0</v>
      </c>
      <c r="AB211" s="56" t="n">
        <f aca="false">ROUND(R210*(1+N(Debts!$D$7)/12),2)</f>
        <v>0</v>
      </c>
      <c r="AC211" s="56" t="n">
        <f aca="false">ROUND(S210*(1+N(Debts!$D$8)/12),2)</f>
        <v>0</v>
      </c>
      <c r="AD211" s="56" t="n">
        <f aca="false">ROUND(T210*(1+N(Debts!$D$9)/12),2)</f>
        <v>0</v>
      </c>
      <c r="AE211" s="56" t="n">
        <f aca="false">ROUND(U210*(1+N(Debts!$D$10)/12),2)</f>
        <v>0</v>
      </c>
      <c r="AF211" s="56" t="n">
        <f aca="false">ROUND(V210*(1+N(Debts!$D$11)/12),2)</f>
        <v>0</v>
      </c>
      <c r="AG211" s="56" t="n">
        <f aca="false">ROUND(W210*(1+N(Debts!$D$12)/12),2)</f>
        <v>0</v>
      </c>
      <c r="AH211" s="56" t="n">
        <f aca="false">ROUND(X210*(1+N(Debts!$D$13)/12),2)</f>
        <v>0</v>
      </c>
      <c r="AI211" s="56" t="n">
        <f aca="false">ROUND(Y210*(1+N(Debts!$D$14)/12),2)</f>
        <v>0</v>
      </c>
      <c r="AJ211" s="56" t="n">
        <f aca="false">MIN(Z211,MAX(0,N(Debts!$E$5)))</f>
        <v>0</v>
      </c>
      <c r="AK211" s="56" t="n">
        <f aca="false">MIN(AA211,MAX(0,N(Debts!$E$6)))</f>
        <v>0</v>
      </c>
      <c r="AL211" s="56" t="n">
        <f aca="false">MIN(AB211,MAX(0,N(Debts!$E$7)))</f>
        <v>0</v>
      </c>
      <c r="AM211" s="56" t="n">
        <f aca="false">MIN(AC211,MAX(0,N(Debts!$E$8)))</f>
        <v>0</v>
      </c>
      <c r="AN211" s="56" t="n">
        <f aca="false">MIN(AD211,MAX(0,N(Debts!$E$9)))</f>
        <v>0</v>
      </c>
      <c r="AO211" s="56" t="n">
        <f aca="false">MIN(AE211,MAX(0,N(Debts!$E$10)))</f>
        <v>0</v>
      </c>
      <c r="AP211" s="56" t="n">
        <f aca="false">MIN(AF211,MAX(0,N(Debts!$E$11)))</f>
        <v>0</v>
      </c>
      <c r="AQ211" s="56" t="n">
        <f aca="false">MIN(AG211,MAX(0,N(Debts!$E$12)))</f>
        <v>0</v>
      </c>
      <c r="AR211" s="56" t="n">
        <f aca="false">MIN(AH211,MAX(0,N(Debts!$E$13)))</f>
        <v>0</v>
      </c>
      <c r="AS211" s="56" t="n">
        <f aca="false">MIN(AI211,MAX(0,N(Debts!$E$14)))</f>
        <v>0</v>
      </c>
    </row>
    <row r="212" customFormat="false" ht="15" hidden="false" customHeight="false" outlineLevel="0" collapsed="false">
      <c r="A212" s="53" t="n">
        <v>208</v>
      </c>
      <c r="B212" s="54" t="n">
        <f aca="false">EDATE('Start Here'!$B$8,207)</f>
        <v>52628</v>
      </c>
      <c r="C212" s="42" t="n">
        <f aca="false">SUM(F212:O212)</f>
        <v>0</v>
      </c>
      <c r="D212" s="42" t="n">
        <f aca="false">ROUND(SUM($Z212:$AI212)-SUM(P211:Y211),2)</f>
        <v>0</v>
      </c>
      <c r="E212" s="55" t="n">
        <f aca="false">SUM(P212:Y212)</f>
        <v>0</v>
      </c>
      <c r="F212" s="42" t="n">
        <f aca="false">AJ212+MIN(Z212-AJ212,MAX(0,'Start Here'!$B$10-SUM($AJ212:$AS212)-SUMPRODUCT(($Z$3:$AI$3&lt;Z$3)*($Z212:$AI212-$AJ212:$AS212))))</f>
        <v>0</v>
      </c>
      <c r="G212" s="42" t="n">
        <f aca="false">AK212+MIN(AA212-AK212,MAX(0,'Start Here'!$B$10-SUM($AJ212:$AS212)-SUMPRODUCT(($Z$3:$AI$3&lt;AA$3)*($Z212:$AI212-$AJ212:$AS212))))</f>
        <v>0</v>
      </c>
      <c r="H212" s="42" t="n">
        <f aca="false">AL212+MIN(AB212-AL212,MAX(0,'Start Here'!$B$10-SUM($AJ212:$AS212)-SUMPRODUCT(($Z$3:$AI$3&lt;AB$3)*($Z212:$AI212-$AJ212:$AS212))))</f>
        <v>0</v>
      </c>
      <c r="I212" s="42" t="n">
        <f aca="false">AM212+MIN(AC212-AM212,MAX(0,'Start Here'!$B$10-SUM($AJ212:$AS212)-SUMPRODUCT(($Z$3:$AI$3&lt;AC$3)*($Z212:$AI212-$AJ212:$AS212))))</f>
        <v>0</v>
      </c>
      <c r="J212" s="42" t="n">
        <f aca="false">AN212+MIN(AD212-AN212,MAX(0,'Start Here'!$B$10-SUM($AJ212:$AS212)-SUMPRODUCT(($Z$3:$AI$3&lt;AD$3)*($Z212:$AI212-$AJ212:$AS212))))</f>
        <v>0</v>
      </c>
      <c r="K212" s="42" t="n">
        <f aca="false">AO212+MIN(AE212-AO212,MAX(0,'Start Here'!$B$10-SUM($AJ212:$AS212)-SUMPRODUCT(($Z$3:$AI$3&lt;AE$3)*($Z212:$AI212-$AJ212:$AS212))))</f>
        <v>0</v>
      </c>
      <c r="L212" s="42" t="n">
        <f aca="false">AP212+MIN(AF212-AP212,MAX(0,'Start Here'!$B$10-SUM($AJ212:$AS212)-SUMPRODUCT(($Z$3:$AI$3&lt;AF$3)*($Z212:$AI212-$AJ212:$AS212))))</f>
        <v>0</v>
      </c>
      <c r="M212" s="42" t="n">
        <f aca="false">AQ212+MIN(AG212-AQ212,MAX(0,'Start Here'!$B$10-SUM($AJ212:$AS212)-SUMPRODUCT(($Z$3:$AI$3&lt;AG$3)*($Z212:$AI212-$AJ212:$AS212))))</f>
        <v>0</v>
      </c>
      <c r="N212" s="42" t="n">
        <f aca="false">AR212+MIN(AH212-AR212,MAX(0,'Start Here'!$B$10-SUM($AJ212:$AS212)-SUMPRODUCT(($Z$3:$AI$3&lt;AH$3)*($Z212:$AI212-$AJ212:$AS212))))</f>
        <v>0</v>
      </c>
      <c r="O212" s="42" t="n">
        <f aca="false">AS212+MIN(AI212-AS212,MAX(0,'Start Here'!$B$10-SUM($AJ212:$AS212)-SUMPRODUCT(($Z$3:$AI$3&lt;AI$3)*($Z212:$AI212-$AJ212:$AS212))))</f>
        <v>0</v>
      </c>
      <c r="P212" s="42" t="n">
        <f aca="false">ROUND(Z212-F212,2)</f>
        <v>0</v>
      </c>
      <c r="Q212" s="42" t="n">
        <f aca="false">ROUND(AA212-G212,2)</f>
        <v>0</v>
      </c>
      <c r="R212" s="42" t="n">
        <f aca="false">ROUND(AB212-H212,2)</f>
        <v>0</v>
      </c>
      <c r="S212" s="42" t="n">
        <f aca="false">ROUND(AC212-I212,2)</f>
        <v>0</v>
      </c>
      <c r="T212" s="42" t="n">
        <f aca="false">ROUND(AD212-J212,2)</f>
        <v>0</v>
      </c>
      <c r="U212" s="42" t="n">
        <f aca="false">ROUND(AE212-K212,2)</f>
        <v>0</v>
      </c>
      <c r="V212" s="42" t="n">
        <f aca="false">ROUND(AF212-L212,2)</f>
        <v>0</v>
      </c>
      <c r="W212" s="42" t="n">
        <f aca="false">ROUND(AG212-M212,2)</f>
        <v>0</v>
      </c>
      <c r="X212" s="42" t="n">
        <f aca="false">ROUND(AH212-N212,2)</f>
        <v>0</v>
      </c>
      <c r="Y212" s="42" t="n">
        <f aca="false">ROUND(AI212-O212,2)</f>
        <v>0</v>
      </c>
      <c r="Z212" s="56" t="n">
        <f aca="false">ROUND(P211*(1+N(Debts!$D$5)/12),2)</f>
        <v>0</v>
      </c>
      <c r="AA212" s="56" t="n">
        <f aca="false">ROUND(Q211*(1+N(Debts!$D$6)/12),2)</f>
        <v>0</v>
      </c>
      <c r="AB212" s="56" t="n">
        <f aca="false">ROUND(R211*(1+N(Debts!$D$7)/12),2)</f>
        <v>0</v>
      </c>
      <c r="AC212" s="56" t="n">
        <f aca="false">ROUND(S211*(1+N(Debts!$D$8)/12),2)</f>
        <v>0</v>
      </c>
      <c r="AD212" s="56" t="n">
        <f aca="false">ROUND(T211*(1+N(Debts!$D$9)/12),2)</f>
        <v>0</v>
      </c>
      <c r="AE212" s="56" t="n">
        <f aca="false">ROUND(U211*(1+N(Debts!$D$10)/12),2)</f>
        <v>0</v>
      </c>
      <c r="AF212" s="56" t="n">
        <f aca="false">ROUND(V211*(1+N(Debts!$D$11)/12),2)</f>
        <v>0</v>
      </c>
      <c r="AG212" s="56" t="n">
        <f aca="false">ROUND(W211*(1+N(Debts!$D$12)/12),2)</f>
        <v>0</v>
      </c>
      <c r="AH212" s="56" t="n">
        <f aca="false">ROUND(X211*(1+N(Debts!$D$13)/12),2)</f>
        <v>0</v>
      </c>
      <c r="AI212" s="56" t="n">
        <f aca="false">ROUND(Y211*(1+N(Debts!$D$14)/12),2)</f>
        <v>0</v>
      </c>
      <c r="AJ212" s="56" t="n">
        <f aca="false">MIN(Z212,MAX(0,N(Debts!$E$5)))</f>
        <v>0</v>
      </c>
      <c r="AK212" s="56" t="n">
        <f aca="false">MIN(AA212,MAX(0,N(Debts!$E$6)))</f>
        <v>0</v>
      </c>
      <c r="AL212" s="56" t="n">
        <f aca="false">MIN(AB212,MAX(0,N(Debts!$E$7)))</f>
        <v>0</v>
      </c>
      <c r="AM212" s="56" t="n">
        <f aca="false">MIN(AC212,MAX(0,N(Debts!$E$8)))</f>
        <v>0</v>
      </c>
      <c r="AN212" s="56" t="n">
        <f aca="false">MIN(AD212,MAX(0,N(Debts!$E$9)))</f>
        <v>0</v>
      </c>
      <c r="AO212" s="56" t="n">
        <f aca="false">MIN(AE212,MAX(0,N(Debts!$E$10)))</f>
        <v>0</v>
      </c>
      <c r="AP212" s="56" t="n">
        <f aca="false">MIN(AF212,MAX(0,N(Debts!$E$11)))</f>
        <v>0</v>
      </c>
      <c r="AQ212" s="56" t="n">
        <f aca="false">MIN(AG212,MAX(0,N(Debts!$E$12)))</f>
        <v>0</v>
      </c>
      <c r="AR212" s="56" t="n">
        <f aca="false">MIN(AH212,MAX(0,N(Debts!$E$13)))</f>
        <v>0</v>
      </c>
      <c r="AS212" s="56" t="n">
        <f aca="false">MIN(AI212,MAX(0,N(Debts!$E$14)))</f>
        <v>0</v>
      </c>
    </row>
    <row r="213" customFormat="false" ht="15" hidden="false" customHeight="false" outlineLevel="0" collapsed="false">
      <c r="A213" s="53" t="n">
        <v>209</v>
      </c>
      <c r="B213" s="54" t="n">
        <f aca="false">EDATE('Start Here'!$B$8,208)</f>
        <v>52657</v>
      </c>
      <c r="C213" s="42" t="n">
        <f aca="false">SUM(F213:O213)</f>
        <v>0</v>
      </c>
      <c r="D213" s="42" t="n">
        <f aca="false">ROUND(SUM($Z213:$AI213)-SUM(P212:Y212),2)</f>
        <v>0</v>
      </c>
      <c r="E213" s="55" t="n">
        <f aca="false">SUM(P213:Y213)</f>
        <v>0</v>
      </c>
      <c r="F213" s="42" t="n">
        <f aca="false">AJ213+MIN(Z213-AJ213,MAX(0,'Start Here'!$B$10-SUM($AJ213:$AS213)-SUMPRODUCT(($Z$3:$AI$3&lt;Z$3)*($Z213:$AI213-$AJ213:$AS213))))</f>
        <v>0</v>
      </c>
      <c r="G213" s="42" t="n">
        <f aca="false">AK213+MIN(AA213-AK213,MAX(0,'Start Here'!$B$10-SUM($AJ213:$AS213)-SUMPRODUCT(($Z$3:$AI$3&lt;AA$3)*($Z213:$AI213-$AJ213:$AS213))))</f>
        <v>0</v>
      </c>
      <c r="H213" s="42" t="n">
        <f aca="false">AL213+MIN(AB213-AL213,MAX(0,'Start Here'!$B$10-SUM($AJ213:$AS213)-SUMPRODUCT(($Z$3:$AI$3&lt;AB$3)*($Z213:$AI213-$AJ213:$AS213))))</f>
        <v>0</v>
      </c>
      <c r="I213" s="42" t="n">
        <f aca="false">AM213+MIN(AC213-AM213,MAX(0,'Start Here'!$B$10-SUM($AJ213:$AS213)-SUMPRODUCT(($Z$3:$AI$3&lt;AC$3)*($Z213:$AI213-$AJ213:$AS213))))</f>
        <v>0</v>
      </c>
      <c r="J213" s="42" t="n">
        <f aca="false">AN213+MIN(AD213-AN213,MAX(0,'Start Here'!$B$10-SUM($AJ213:$AS213)-SUMPRODUCT(($Z$3:$AI$3&lt;AD$3)*($Z213:$AI213-$AJ213:$AS213))))</f>
        <v>0</v>
      </c>
      <c r="K213" s="42" t="n">
        <f aca="false">AO213+MIN(AE213-AO213,MAX(0,'Start Here'!$B$10-SUM($AJ213:$AS213)-SUMPRODUCT(($Z$3:$AI$3&lt;AE$3)*($Z213:$AI213-$AJ213:$AS213))))</f>
        <v>0</v>
      </c>
      <c r="L213" s="42" t="n">
        <f aca="false">AP213+MIN(AF213-AP213,MAX(0,'Start Here'!$B$10-SUM($AJ213:$AS213)-SUMPRODUCT(($Z$3:$AI$3&lt;AF$3)*($Z213:$AI213-$AJ213:$AS213))))</f>
        <v>0</v>
      </c>
      <c r="M213" s="42" t="n">
        <f aca="false">AQ213+MIN(AG213-AQ213,MAX(0,'Start Here'!$B$10-SUM($AJ213:$AS213)-SUMPRODUCT(($Z$3:$AI$3&lt;AG$3)*($Z213:$AI213-$AJ213:$AS213))))</f>
        <v>0</v>
      </c>
      <c r="N213" s="42" t="n">
        <f aca="false">AR213+MIN(AH213-AR213,MAX(0,'Start Here'!$B$10-SUM($AJ213:$AS213)-SUMPRODUCT(($Z$3:$AI$3&lt;AH$3)*($Z213:$AI213-$AJ213:$AS213))))</f>
        <v>0</v>
      </c>
      <c r="O213" s="42" t="n">
        <f aca="false">AS213+MIN(AI213-AS213,MAX(0,'Start Here'!$B$10-SUM($AJ213:$AS213)-SUMPRODUCT(($Z$3:$AI$3&lt;AI$3)*($Z213:$AI213-$AJ213:$AS213))))</f>
        <v>0</v>
      </c>
      <c r="P213" s="42" t="n">
        <f aca="false">ROUND(Z213-F213,2)</f>
        <v>0</v>
      </c>
      <c r="Q213" s="42" t="n">
        <f aca="false">ROUND(AA213-G213,2)</f>
        <v>0</v>
      </c>
      <c r="R213" s="42" t="n">
        <f aca="false">ROUND(AB213-H213,2)</f>
        <v>0</v>
      </c>
      <c r="S213" s="42" t="n">
        <f aca="false">ROUND(AC213-I213,2)</f>
        <v>0</v>
      </c>
      <c r="T213" s="42" t="n">
        <f aca="false">ROUND(AD213-J213,2)</f>
        <v>0</v>
      </c>
      <c r="U213" s="42" t="n">
        <f aca="false">ROUND(AE213-K213,2)</f>
        <v>0</v>
      </c>
      <c r="V213" s="42" t="n">
        <f aca="false">ROUND(AF213-L213,2)</f>
        <v>0</v>
      </c>
      <c r="W213" s="42" t="n">
        <f aca="false">ROUND(AG213-M213,2)</f>
        <v>0</v>
      </c>
      <c r="X213" s="42" t="n">
        <f aca="false">ROUND(AH213-N213,2)</f>
        <v>0</v>
      </c>
      <c r="Y213" s="42" t="n">
        <f aca="false">ROUND(AI213-O213,2)</f>
        <v>0</v>
      </c>
      <c r="Z213" s="56" t="n">
        <f aca="false">ROUND(P212*(1+N(Debts!$D$5)/12),2)</f>
        <v>0</v>
      </c>
      <c r="AA213" s="56" t="n">
        <f aca="false">ROUND(Q212*(1+N(Debts!$D$6)/12),2)</f>
        <v>0</v>
      </c>
      <c r="AB213" s="56" t="n">
        <f aca="false">ROUND(R212*(1+N(Debts!$D$7)/12),2)</f>
        <v>0</v>
      </c>
      <c r="AC213" s="56" t="n">
        <f aca="false">ROUND(S212*(1+N(Debts!$D$8)/12),2)</f>
        <v>0</v>
      </c>
      <c r="AD213" s="56" t="n">
        <f aca="false">ROUND(T212*(1+N(Debts!$D$9)/12),2)</f>
        <v>0</v>
      </c>
      <c r="AE213" s="56" t="n">
        <f aca="false">ROUND(U212*(1+N(Debts!$D$10)/12),2)</f>
        <v>0</v>
      </c>
      <c r="AF213" s="56" t="n">
        <f aca="false">ROUND(V212*(1+N(Debts!$D$11)/12),2)</f>
        <v>0</v>
      </c>
      <c r="AG213" s="56" t="n">
        <f aca="false">ROUND(W212*(1+N(Debts!$D$12)/12),2)</f>
        <v>0</v>
      </c>
      <c r="AH213" s="56" t="n">
        <f aca="false">ROUND(X212*(1+N(Debts!$D$13)/12),2)</f>
        <v>0</v>
      </c>
      <c r="AI213" s="56" t="n">
        <f aca="false">ROUND(Y212*(1+N(Debts!$D$14)/12),2)</f>
        <v>0</v>
      </c>
      <c r="AJ213" s="56" t="n">
        <f aca="false">MIN(Z213,MAX(0,N(Debts!$E$5)))</f>
        <v>0</v>
      </c>
      <c r="AK213" s="56" t="n">
        <f aca="false">MIN(AA213,MAX(0,N(Debts!$E$6)))</f>
        <v>0</v>
      </c>
      <c r="AL213" s="56" t="n">
        <f aca="false">MIN(AB213,MAX(0,N(Debts!$E$7)))</f>
        <v>0</v>
      </c>
      <c r="AM213" s="56" t="n">
        <f aca="false">MIN(AC213,MAX(0,N(Debts!$E$8)))</f>
        <v>0</v>
      </c>
      <c r="AN213" s="56" t="n">
        <f aca="false">MIN(AD213,MAX(0,N(Debts!$E$9)))</f>
        <v>0</v>
      </c>
      <c r="AO213" s="56" t="n">
        <f aca="false">MIN(AE213,MAX(0,N(Debts!$E$10)))</f>
        <v>0</v>
      </c>
      <c r="AP213" s="56" t="n">
        <f aca="false">MIN(AF213,MAX(0,N(Debts!$E$11)))</f>
        <v>0</v>
      </c>
      <c r="AQ213" s="56" t="n">
        <f aca="false">MIN(AG213,MAX(0,N(Debts!$E$12)))</f>
        <v>0</v>
      </c>
      <c r="AR213" s="56" t="n">
        <f aca="false">MIN(AH213,MAX(0,N(Debts!$E$13)))</f>
        <v>0</v>
      </c>
      <c r="AS213" s="56" t="n">
        <f aca="false">MIN(AI213,MAX(0,N(Debts!$E$14)))</f>
        <v>0</v>
      </c>
    </row>
    <row r="214" customFormat="false" ht="15" hidden="false" customHeight="false" outlineLevel="0" collapsed="false">
      <c r="A214" s="53" t="n">
        <v>210</v>
      </c>
      <c r="B214" s="54" t="n">
        <f aca="false">EDATE('Start Here'!$B$8,209)</f>
        <v>52688</v>
      </c>
      <c r="C214" s="42" t="n">
        <f aca="false">SUM(F214:O214)</f>
        <v>0</v>
      </c>
      <c r="D214" s="42" t="n">
        <f aca="false">ROUND(SUM($Z214:$AI214)-SUM(P213:Y213),2)</f>
        <v>0</v>
      </c>
      <c r="E214" s="55" t="n">
        <f aca="false">SUM(P214:Y214)</f>
        <v>0</v>
      </c>
      <c r="F214" s="42" t="n">
        <f aca="false">AJ214+MIN(Z214-AJ214,MAX(0,'Start Here'!$B$10-SUM($AJ214:$AS214)-SUMPRODUCT(($Z$3:$AI$3&lt;Z$3)*($Z214:$AI214-$AJ214:$AS214))))</f>
        <v>0</v>
      </c>
      <c r="G214" s="42" t="n">
        <f aca="false">AK214+MIN(AA214-AK214,MAX(0,'Start Here'!$B$10-SUM($AJ214:$AS214)-SUMPRODUCT(($Z$3:$AI$3&lt;AA$3)*($Z214:$AI214-$AJ214:$AS214))))</f>
        <v>0</v>
      </c>
      <c r="H214" s="42" t="n">
        <f aca="false">AL214+MIN(AB214-AL214,MAX(0,'Start Here'!$B$10-SUM($AJ214:$AS214)-SUMPRODUCT(($Z$3:$AI$3&lt;AB$3)*($Z214:$AI214-$AJ214:$AS214))))</f>
        <v>0</v>
      </c>
      <c r="I214" s="42" t="n">
        <f aca="false">AM214+MIN(AC214-AM214,MAX(0,'Start Here'!$B$10-SUM($AJ214:$AS214)-SUMPRODUCT(($Z$3:$AI$3&lt;AC$3)*($Z214:$AI214-$AJ214:$AS214))))</f>
        <v>0</v>
      </c>
      <c r="J214" s="42" t="n">
        <f aca="false">AN214+MIN(AD214-AN214,MAX(0,'Start Here'!$B$10-SUM($AJ214:$AS214)-SUMPRODUCT(($Z$3:$AI$3&lt;AD$3)*($Z214:$AI214-$AJ214:$AS214))))</f>
        <v>0</v>
      </c>
      <c r="K214" s="42" t="n">
        <f aca="false">AO214+MIN(AE214-AO214,MAX(0,'Start Here'!$B$10-SUM($AJ214:$AS214)-SUMPRODUCT(($Z$3:$AI$3&lt;AE$3)*($Z214:$AI214-$AJ214:$AS214))))</f>
        <v>0</v>
      </c>
      <c r="L214" s="42" t="n">
        <f aca="false">AP214+MIN(AF214-AP214,MAX(0,'Start Here'!$B$10-SUM($AJ214:$AS214)-SUMPRODUCT(($Z$3:$AI$3&lt;AF$3)*($Z214:$AI214-$AJ214:$AS214))))</f>
        <v>0</v>
      </c>
      <c r="M214" s="42" t="n">
        <f aca="false">AQ214+MIN(AG214-AQ214,MAX(0,'Start Here'!$B$10-SUM($AJ214:$AS214)-SUMPRODUCT(($Z$3:$AI$3&lt;AG$3)*($Z214:$AI214-$AJ214:$AS214))))</f>
        <v>0</v>
      </c>
      <c r="N214" s="42" t="n">
        <f aca="false">AR214+MIN(AH214-AR214,MAX(0,'Start Here'!$B$10-SUM($AJ214:$AS214)-SUMPRODUCT(($Z$3:$AI$3&lt;AH$3)*($Z214:$AI214-$AJ214:$AS214))))</f>
        <v>0</v>
      </c>
      <c r="O214" s="42" t="n">
        <f aca="false">AS214+MIN(AI214-AS214,MAX(0,'Start Here'!$B$10-SUM($AJ214:$AS214)-SUMPRODUCT(($Z$3:$AI$3&lt;AI$3)*($Z214:$AI214-$AJ214:$AS214))))</f>
        <v>0</v>
      </c>
      <c r="P214" s="42" t="n">
        <f aca="false">ROUND(Z214-F214,2)</f>
        <v>0</v>
      </c>
      <c r="Q214" s="42" t="n">
        <f aca="false">ROUND(AA214-G214,2)</f>
        <v>0</v>
      </c>
      <c r="R214" s="42" t="n">
        <f aca="false">ROUND(AB214-H214,2)</f>
        <v>0</v>
      </c>
      <c r="S214" s="42" t="n">
        <f aca="false">ROUND(AC214-I214,2)</f>
        <v>0</v>
      </c>
      <c r="T214" s="42" t="n">
        <f aca="false">ROUND(AD214-J214,2)</f>
        <v>0</v>
      </c>
      <c r="U214" s="42" t="n">
        <f aca="false">ROUND(AE214-K214,2)</f>
        <v>0</v>
      </c>
      <c r="V214" s="42" t="n">
        <f aca="false">ROUND(AF214-L214,2)</f>
        <v>0</v>
      </c>
      <c r="W214" s="42" t="n">
        <f aca="false">ROUND(AG214-M214,2)</f>
        <v>0</v>
      </c>
      <c r="X214" s="42" t="n">
        <f aca="false">ROUND(AH214-N214,2)</f>
        <v>0</v>
      </c>
      <c r="Y214" s="42" t="n">
        <f aca="false">ROUND(AI214-O214,2)</f>
        <v>0</v>
      </c>
      <c r="Z214" s="56" t="n">
        <f aca="false">ROUND(P213*(1+N(Debts!$D$5)/12),2)</f>
        <v>0</v>
      </c>
      <c r="AA214" s="56" t="n">
        <f aca="false">ROUND(Q213*(1+N(Debts!$D$6)/12),2)</f>
        <v>0</v>
      </c>
      <c r="AB214" s="56" t="n">
        <f aca="false">ROUND(R213*(1+N(Debts!$D$7)/12),2)</f>
        <v>0</v>
      </c>
      <c r="AC214" s="56" t="n">
        <f aca="false">ROUND(S213*(1+N(Debts!$D$8)/12),2)</f>
        <v>0</v>
      </c>
      <c r="AD214" s="56" t="n">
        <f aca="false">ROUND(T213*(1+N(Debts!$D$9)/12),2)</f>
        <v>0</v>
      </c>
      <c r="AE214" s="56" t="n">
        <f aca="false">ROUND(U213*(1+N(Debts!$D$10)/12),2)</f>
        <v>0</v>
      </c>
      <c r="AF214" s="56" t="n">
        <f aca="false">ROUND(V213*(1+N(Debts!$D$11)/12),2)</f>
        <v>0</v>
      </c>
      <c r="AG214" s="56" t="n">
        <f aca="false">ROUND(W213*(1+N(Debts!$D$12)/12),2)</f>
        <v>0</v>
      </c>
      <c r="AH214" s="56" t="n">
        <f aca="false">ROUND(X213*(1+N(Debts!$D$13)/12),2)</f>
        <v>0</v>
      </c>
      <c r="AI214" s="56" t="n">
        <f aca="false">ROUND(Y213*(1+N(Debts!$D$14)/12),2)</f>
        <v>0</v>
      </c>
      <c r="AJ214" s="56" t="n">
        <f aca="false">MIN(Z214,MAX(0,N(Debts!$E$5)))</f>
        <v>0</v>
      </c>
      <c r="AK214" s="56" t="n">
        <f aca="false">MIN(AA214,MAX(0,N(Debts!$E$6)))</f>
        <v>0</v>
      </c>
      <c r="AL214" s="56" t="n">
        <f aca="false">MIN(AB214,MAX(0,N(Debts!$E$7)))</f>
        <v>0</v>
      </c>
      <c r="AM214" s="56" t="n">
        <f aca="false">MIN(AC214,MAX(0,N(Debts!$E$8)))</f>
        <v>0</v>
      </c>
      <c r="AN214" s="56" t="n">
        <f aca="false">MIN(AD214,MAX(0,N(Debts!$E$9)))</f>
        <v>0</v>
      </c>
      <c r="AO214" s="56" t="n">
        <f aca="false">MIN(AE214,MAX(0,N(Debts!$E$10)))</f>
        <v>0</v>
      </c>
      <c r="AP214" s="56" t="n">
        <f aca="false">MIN(AF214,MAX(0,N(Debts!$E$11)))</f>
        <v>0</v>
      </c>
      <c r="AQ214" s="56" t="n">
        <f aca="false">MIN(AG214,MAX(0,N(Debts!$E$12)))</f>
        <v>0</v>
      </c>
      <c r="AR214" s="56" t="n">
        <f aca="false">MIN(AH214,MAX(0,N(Debts!$E$13)))</f>
        <v>0</v>
      </c>
      <c r="AS214" s="56" t="n">
        <f aca="false">MIN(AI214,MAX(0,N(Debts!$E$14)))</f>
        <v>0</v>
      </c>
    </row>
    <row r="215" customFormat="false" ht="15" hidden="false" customHeight="false" outlineLevel="0" collapsed="false">
      <c r="A215" s="53" t="n">
        <v>211</v>
      </c>
      <c r="B215" s="54" t="n">
        <f aca="false">EDATE('Start Here'!$B$8,210)</f>
        <v>52718</v>
      </c>
      <c r="C215" s="42" t="n">
        <f aca="false">SUM(F215:O215)</f>
        <v>0</v>
      </c>
      <c r="D215" s="42" t="n">
        <f aca="false">ROUND(SUM($Z215:$AI215)-SUM(P214:Y214),2)</f>
        <v>0</v>
      </c>
      <c r="E215" s="55" t="n">
        <f aca="false">SUM(P215:Y215)</f>
        <v>0</v>
      </c>
      <c r="F215" s="42" t="n">
        <f aca="false">AJ215+MIN(Z215-AJ215,MAX(0,'Start Here'!$B$10-SUM($AJ215:$AS215)-SUMPRODUCT(($Z$3:$AI$3&lt;Z$3)*($Z215:$AI215-$AJ215:$AS215))))</f>
        <v>0</v>
      </c>
      <c r="G215" s="42" t="n">
        <f aca="false">AK215+MIN(AA215-AK215,MAX(0,'Start Here'!$B$10-SUM($AJ215:$AS215)-SUMPRODUCT(($Z$3:$AI$3&lt;AA$3)*($Z215:$AI215-$AJ215:$AS215))))</f>
        <v>0</v>
      </c>
      <c r="H215" s="42" t="n">
        <f aca="false">AL215+MIN(AB215-AL215,MAX(0,'Start Here'!$B$10-SUM($AJ215:$AS215)-SUMPRODUCT(($Z$3:$AI$3&lt;AB$3)*($Z215:$AI215-$AJ215:$AS215))))</f>
        <v>0</v>
      </c>
      <c r="I215" s="42" t="n">
        <f aca="false">AM215+MIN(AC215-AM215,MAX(0,'Start Here'!$B$10-SUM($AJ215:$AS215)-SUMPRODUCT(($Z$3:$AI$3&lt;AC$3)*($Z215:$AI215-$AJ215:$AS215))))</f>
        <v>0</v>
      </c>
      <c r="J215" s="42" t="n">
        <f aca="false">AN215+MIN(AD215-AN215,MAX(0,'Start Here'!$B$10-SUM($AJ215:$AS215)-SUMPRODUCT(($Z$3:$AI$3&lt;AD$3)*($Z215:$AI215-$AJ215:$AS215))))</f>
        <v>0</v>
      </c>
      <c r="K215" s="42" t="n">
        <f aca="false">AO215+MIN(AE215-AO215,MAX(0,'Start Here'!$B$10-SUM($AJ215:$AS215)-SUMPRODUCT(($Z$3:$AI$3&lt;AE$3)*($Z215:$AI215-$AJ215:$AS215))))</f>
        <v>0</v>
      </c>
      <c r="L215" s="42" t="n">
        <f aca="false">AP215+MIN(AF215-AP215,MAX(0,'Start Here'!$B$10-SUM($AJ215:$AS215)-SUMPRODUCT(($Z$3:$AI$3&lt;AF$3)*($Z215:$AI215-$AJ215:$AS215))))</f>
        <v>0</v>
      </c>
      <c r="M215" s="42" t="n">
        <f aca="false">AQ215+MIN(AG215-AQ215,MAX(0,'Start Here'!$B$10-SUM($AJ215:$AS215)-SUMPRODUCT(($Z$3:$AI$3&lt;AG$3)*($Z215:$AI215-$AJ215:$AS215))))</f>
        <v>0</v>
      </c>
      <c r="N215" s="42" t="n">
        <f aca="false">AR215+MIN(AH215-AR215,MAX(0,'Start Here'!$B$10-SUM($AJ215:$AS215)-SUMPRODUCT(($Z$3:$AI$3&lt;AH$3)*($Z215:$AI215-$AJ215:$AS215))))</f>
        <v>0</v>
      </c>
      <c r="O215" s="42" t="n">
        <f aca="false">AS215+MIN(AI215-AS215,MAX(0,'Start Here'!$B$10-SUM($AJ215:$AS215)-SUMPRODUCT(($Z$3:$AI$3&lt;AI$3)*($Z215:$AI215-$AJ215:$AS215))))</f>
        <v>0</v>
      </c>
      <c r="P215" s="42" t="n">
        <f aca="false">ROUND(Z215-F215,2)</f>
        <v>0</v>
      </c>
      <c r="Q215" s="42" t="n">
        <f aca="false">ROUND(AA215-G215,2)</f>
        <v>0</v>
      </c>
      <c r="R215" s="42" t="n">
        <f aca="false">ROUND(AB215-H215,2)</f>
        <v>0</v>
      </c>
      <c r="S215" s="42" t="n">
        <f aca="false">ROUND(AC215-I215,2)</f>
        <v>0</v>
      </c>
      <c r="T215" s="42" t="n">
        <f aca="false">ROUND(AD215-J215,2)</f>
        <v>0</v>
      </c>
      <c r="U215" s="42" t="n">
        <f aca="false">ROUND(AE215-K215,2)</f>
        <v>0</v>
      </c>
      <c r="V215" s="42" t="n">
        <f aca="false">ROUND(AF215-L215,2)</f>
        <v>0</v>
      </c>
      <c r="W215" s="42" t="n">
        <f aca="false">ROUND(AG215-M215,2)</f>
        <v>0</v>
      </c>
      <c r="X215" s="42" t="n">
        <f aca="false">ROUND(AH215-N215,2)</f>
        <v>0</v>
      </c>
      <c r="Y215" s="42" t="n">
        <f aca="false">ROUND(AI215-O215,2)</f>
        <v>0</v>
      </c>
      <c r="Z215" s="56" t="n">
        <f aca="false">ROUND(P214*(1+N(Debts!$D$5)/12),2)</f>
        <v>0</v>
      </c>
      <c r="AA215" s="56" t="n">
        <f aca="false">ROUND(Q214*(1+N(Debts!$D$6)/12),2)</f>
        <v>0</v>
      </c>
      <c r="AB215" s="56" t="n">
        <f aca="false">ROUND(R214*(1+N(Debts!$D$7)/12),2)</f>
        <v>0</v>
      </c>
      <c r="AC215" s="56" t="n">
        <f aca="false">ROUND(S214*(1+N(Debts!$D$8)/12),2)</f>
        <v>0</v>
      </c>
      <c r="AD215" s="56" t="n">
        <f aca="false">ROUND(T214*(1+N(Debts!$D$9)/12),2)</f>
        <v>0</v>
      </c>
      <c r="AE215" s="56" t="n">
        <f aca="false">ROUND(U214*(1+N(Debts!$D$10)/12),2)</f>
        <v>0</v>
      </c>
      <c r="AF215" s="56" t="n">
        <f aca="false">ROUND(V214*(1+N(Debts!$D$11)/12),2)</f>
        <v>0</v>
      </c>
      <c r="AG215" s="56" t="n">
        <f aca="false">ROUND(W214*(1+N(Debts!$D$12)/12),2)</f>
        <v>0</v>
      </c>
      <c r="AH215" s="56" t="n">
        <f aca="false">ROUND(X214*(1+N(Debts!$D$13)/12),2)</f>
        <v>0</v>
      </c>
      <c r="AI215" s="56" t="n">
        <f aca="false">ROUND(Y214*(1+N(Debts!$D$14)/12),2)</f>
        <v>0</v>
      </c>
      <c r="AJ215" s="56" t="n">
        <f aca="false">MIN(Z215,MAX(0,N(Debts!$E$5)))</f>
        <v>0</v>
      </c>
      <c r="AK215" s="56" t="n">
        <f aca="false">MIN(AA215,MAX(0,N(Debts!$E$6)))</f>
        <v>0</v>
      </c>
      <c r="AL215" s="56" t="n">
        <f aca="false">MIN(AB215,MAX(0,N(Debts!$E$7)))</f>
        <v>0</v>
      </c>
      <c r="AM215" s="56" t="n">
        <f aca="false">MIN(AC215,MAX(0,N(Debts!$E$8)))</f>
        <v>0</v>
      </c>
      <c r="AN215" s="56" t="n">
        <f aca="false">MIN(AD215,MAX(0,N(Debts!$E$9)))</f>
        <v>0</v>
      </c>
      <c r="AO215" s="56" t="n">
        <f aca="false">MIN(AE215,MAX(0,N(Debts!$E$10)))</f>
        <v>0</v>
      </c>
      <c r="AP215" s="56" t="n">
        <f aca="false">MIN(AF215,MAX(0,N(Debts!$E$11)))</f>
        <v>0</v>
      </c>
      <c r="AQ215" s="56" t="n">
        <f aca="false">MIN(AG215,MAX(0,N(Debts!$E$12)))</f>
        <v>0</v>
      </c>
      <c r="AR215" s="56" t="n">
        <f aca="false">MIN(AH215,MAX(0,N(Debts!$E$13)))</f>
        <v>0</v>
      </c>
      <c r="AS215" s="56" t="n">
        <f aca="false">MIN(AI215,MAX(0,N(Debts!$E$14)))</f>
        <v>0</v>
      </c>
    </row>
    <row r="216" customFormat="false" ht="15" hidden="false" customHeight="false" outlineLevel="0" collapsed="false">
      <c r="A216" s="53" t="n">
        <v>212</v>
      </c>
      <c r="B216" s="54" t="n">
        <f aca="false">EDATE('Start Here'!$B$8,211)</f>
        <v>52749</v>
      </c>
      <c r="C216" s="42" t="n">
        <f aca="false">SUM(F216:O216)</f>
        <v>0</v>
      </c>
      <c r="D216" s="42" t="n">
        <f aca="false">ROUND(SUM($Z216:$AI216)-SUM(P215:Y215),2)</f>
        <v>0</v>
      </c>
      <c r="E216" s="55" t="n">
        <f aca="false">SUM(P216:Y216)</f>
        <v>0</v>
      </c>
      <c r="F216" s="42" t="n">
        <f aca="false">AJ216+MIN(Z216-AJ216,MAX(0,'Start Here'!$B$10-SUM($AJ216:$AS216)-SUMPRODUCT(($Z$3:$AI$3&lt;Z$3)*($Z216:$AI216-$AJ216:$AS216))))</f>
        <v>0</v>
      </c>
      <c r="G216" s="42" t="n">
        <f aca="false">AK216+MIN(AA216-AK216,MAX(0,'Start Here'!$B$10-SUM($AJ216:$AS216)-SUMPRODUCT(($Z$3:$AI$3&lt;AA$3)*($Z216:$AI216-$AJ216:$AS216))))</f>
        <v>0</v>
      </c>
      <c r="H216" s="42" t="n">
        <f aca="false">AL216+MIN(AB216-AL216,MAX(0,'Start Here'!$B$10-SUM($AJ216:$AS216)-SUMPRODUCT(($Z$3:$AI$3&lt;AB$3)*($Z216:$AI216-$AJ216:$AS216))))</f>
        <v>0</v>
      </c>
      <c r="I216" s="42" t="n">
        <f aca="false">AM216+MIN(AC216-AM216,MAX(0,'Start Here'!$B$10-SUM($AJ216:$AS216)-SUMPRODUCT(($Z$3:$AI$3&lt;AC$3)*($Z216:$AI216-$AJ216:$AS216))))</f>
        <v>0</v>
      </c>
      <c r="J216" s="42" t="n">
        <f aca="false">AN216+MIN(AD216-AN216,MAX(0,'Start Here'!$B$10-SUM($AJ216:$AS216)-SUMPRODUCT(($Z$3:$AI$3&lt;AD$3)*($Z216:$AI216-$AJ216:$AS216))))</f>
        <v>0</v>
      </c>
      <c r="K216" s="42" t="n">
        <f aca="false">AO216+MIN(AE216-AO216,MAX(0,'Start Here'!$B$10-SUM($AJ216:$AS216)-SUMPRODUCT(($Z$3:$AI$3&lt;AE$3)*($Z216:$AI216-$AJ216:$AS216))))</f>
        <v>0</v>
      </c>
      <c r="L216" s="42" t="n">
        <f aca="false">AP216+MIN(AF216-AP216,MAX(0,'Start Here'!$B$10-SUM($AJ216:$AS216)-SUMPRODUCT(($Z$3:$AI$3&lt;AF$3)*($Z216:$AI216-$AJ216:$AS216))))</f>
        <v>0</v>
      </c>
      <c r="M216" s="42" t="n">
        <f aca="false">AQ216+MIN(AG216-AQ216,MAX(0,'Start Here'!$B$10-SUM($AJ216:$AS216)-SUMPRODUCT(($Z$3:$AI$3&lt;AG$3)*($Z216:$AI216-$AJ216:$AS216))))</f>
        <v>0</v>
      </c>
      <c r="N216" s="42" t="n">
        <f aca="false">AR216+MIN(AH216-AR216,MAX(0,'Start Here'!$B$10-SUM($AJ216:$AS216)-SUMPRODUCT(($Z$3:$AI$3&lt;AH$3)*($Z216:$AI216-$AJ216:$AS216))))</f>
        <v>0</v>
      </c>
      <c r="O216" s="42" t="n">
        <f aca="false">AS216+MIN(AI216-AS216,MAX(0,'Start Here'!$B$10-SUM($AJ216:$AS216)-SUMPRODUCT(($Z$3:$AI$3&lt;AI$3)*($Z216:$AI216-$AJ216:$AS216))))</f>
        <v>0</v>
      </c>
      <c r="P216" s="42" t="n">
        <f aca="false">ROUND(Z216-F216,2)</f>
        <v>0</v>
      </c>
      <c r="Q216" s="42" t="n">
        <f aca="false">ROUND(AA216-G216,2)</f>
        <v>0</v>
      </c>
      <c r="R216" s="42" t="n">
        <f aca="false">ROUND(AB216-H216,2)</f>
        <v>0</v>
      </c>
      <c r="S216" s="42" t="n">
        <f aca="false">ROUND(AC216-I216,2)</f>
        <v>0</v>
      </c>
      <c r="T216" s="42" t="n">
        <f aca="false">ROUND(AD216-J216,2)</f>
        <v>0</v>
      </c>
      <c r="U216" s="42" t="n">
        <f aca="false">ROUND(AE216-K216,2)</f>
        <v>0</v>
      </c>
      <c r="V216" s="42" t="n">
        <f aca="false">ROUND(AF216-L216,2)</f>
        <v>0</v>
      </c>
      <c r="W216" s="42" t="n">
        <f aca="false">ROUND(AG216-M216,2)</f>
        <v>0</v>
      </c>
      <c r="X216" s="42" t="n">
        <f aca="false">ROUND(AH216-N216,2)</f>
        <v>0</v>
      </c>
      <c r="Y216" s="42" t="n">
        <f aca="false">ROUND(AI216-O216,2)</f>
        <v>0</v>
      </c>
      <c r="Z216" s="56" t="n">
        <f aca="false">ROUND(P215*(1+N(Debts!$D$5)/12),2)</f>
        <v>0</v>
      </c>
      <c r="AA216" s="56" t="n">
        <f aca="false">ROUND(Q215*(1+N(Debts!$D$6)/12),2)</f>
        <v>0</v>
      </c>
      <c r="AB216" s="56" t="n">
        <f aca="false">ROUND(R215*(1+N(Debts!$D$7)/12),2)</f>
        <v>0</v>
      </c>
      <c r="AC216" s="56" t="n">
        <f aca="false">ROUND(S215*(1+N(Debts!$D$8)/12),2)</f>
        <v>0</v>
      </c>
      <c r="AD216" s="56" t="n">
        <f aca="false">ROUND(T215*(1+N(Debts!$D$9)/12),2)</f>
        <v>0</v>
      </c>
      <c r="AE216" s="56" t="n">
        <f aca="false">ROUND(U215*(1+N(Debts!$D$10)/12),2)</f>
        <v>0</v>
      </c>
      <c r="AF216" s="56" t="n">
        <f aca="false">ROUND(V215*(1+N(Debts!$D$11)/12),2)</f>
        <v>0</v>
      </c>
      <c r="AG216" s="56" t="n">
        <f aca="false">ROUND(W215*(1+N(Debts!$D$12)/12),2)</f>
        <v>0</v>
      </c>
      <c r="AH216" s="56" t="n">
        <f aca="false">ROUND(X215*(1+N(Debts!$D$13)/12),2)</f>
        <v>0</v>
      </c>
      <c r="AI216" s="56" t="n">
        <f aca="false">ROUND(Y215*(1+N(Debts!$D$14)/12),2)</f>
        <v>0</v>
      </c>
      <c r="AJ216" s="56" t="n">
        <f aca="false">MIN(Z216,MAX(0,N(Debts!$E$5)))</f>
        <v>0</v>
      </c>
      <c r="AK216" s="56" t="n">
        <f aca="false">MIN(AA216,MAX(0,N(Debts!$E$6)))</f>
        <v>0</v>
      </c>
      <c r="AL216" s="56" t="n">
        <f aca="false">MIN(AB216,MAX(0,N(Debts!$E$7)))</f>
        <v>0</v>
      </c>
      <c r="AM216" s="56" t="n">
        <f aca="false">MIN(AC216,MAX(0,N(Debts!$E$8)))</f>
        <v>0</v>
      </c>
      <c r="AN216" s="56" t="n">
        <f aca="false">MIN(AD216,MAX(0,N(Debts!$E$9)))</f>
        <v>0</v>
      </c>
      <c r="AO216" s="56" t="n">
        <f aca="false">MIN(AE216,MAX(0,N(Debts!$E$10)))</f>
        <v>0</v>
      </c>
      <c r="AP216" s="56" t="n">
        <f aca="false">MIN(AF216,MAX(0,N(Debts!$E$11)))</f>
        <v>0</v>
      </c>
      <c r="AQ216" s="56" t="n">
        <f aca="false">MIN(AG216,MAX(0,N(Debts!$E$12)))</f>
        <v>0</v>
      </c>
      <c r="AR216" s="56" t="n">
        <f aca="false">MIN(AH216,MAX(0,N(Debts!$E$13)))</f>
        <v>0</v>
      </c>
      <c r="AS216" s="56" t="n">
        <f aca="false">MIN(AI216,MAX(0,N(Debts!$E$14)))</f>
        <v>0</v>
      </c>
    </row>
    <row r="217" customFormat="false" ht="15" hidden="false" customHeight="false" outlineLevel="0" collapsed="false">
      <c r="A217" s="53" t="n">
        <v>213</v>
      </c>
      <c r="B217" s="54" t="n">
        <f aca="false">EDATE('Start Here'!$B$8,212)</f>
        <v>52779</v>
      </c>
      <c r="C217" s="42" t="n">
        <f aca="false">SUM(F217:O217)</f>
        <v>0</v>
      </c>
      <c r="D217" s="42" t="n">
        <f aca="false">ROUND(SUM($Z217:$AI217)-SUM(P216:Y216),2)</f>
        <v>0</v>
      </c>
      <c r="E217" s="55" t="n">
        <f aca="false">SUM(P217:Y217)</f>
        <v>0</v>
      </c>
      <c r="F217" s="42" t="n">
        <f aca="false">AJ217+MIN(Z217-AJ217,MAX(0,'Start Here'!$B$10-SUM($AJ217:$AS217)-SUMPRODUCT(($Z$3:$AI$3&lt;Z$3)*($Z217:$AI217-$AJ217:$AS217))))</f>
        <v>0</v>
      </c>
      <c r="G217" s="42" t="n">
        <f aca="false">AK217+MIN(AA217-AK217,MAX(0,'Start Here'!$B$10-SUM($AJ217:$AS217)-SUMPRODUCT(($Z$3:$AI$3&lt;AA$3)*($Z217:$AI217-$AJ217:$AS217))))</f>
        <v>0</v>
      </c>
      <c r="H217" s="42" t="n">
        <f aca="false">AL217+MIN(AB217-AL217,MAX(0,'Start Here'!$B$10-SUM($AJ217:$AS217)-SUMPRODUCT(($Z$3:$AI$3&lt;AB$3)*($Z217:$AI217-$AJ217:$AS217))))</f>
        <v>0</v>
      </c>
      <c r="I217" s="42" t="n">
        <f aca="false">AM217+MIN(AC217-AM217,MAX(0,'Start Here'!$B$10-SUM($AJ217:$AS217)-SUMPRODUCT(($Z$3:$AI$3&lt;AC$3)*($Z217:$AI217-$AJ217:$AS217))))</f>
        <v>0</v>
      </c>
      <c r="J217" s="42" t="n">
        <f aca="false">AN217+MIN(AD217-AN217,MAX(0,'Start Here'!$B$10-SUM($AJ217:$AS217)-SUMPRODUCT(($Z$3:$AI$3&lt;AD$3)*($Z217:$AI217-$AJ217:$AS217))))</f>
        <v>0</v>
      </c>
      <c r="K217" s="42" t="n">
        <f aca="false">AO217+MIN(AE217-AO217,MAX(0,'Start Here'!$B$10-SUM($AJ217:$AS217)-SUMPRODUCT(($Z$3:$AI$3&lt;AE$3)*($Z217:$AI217-$AJ217:$AS217))))</f>
        <v>0</v>
      </c>
      <c r="L217" s="42" t="n">
        <f aca="false">AP217+MIN(AF217-AP217,MAX(0,'Start Here'!$B$10-SUM($AJ217:$AS217)-SUMPRODUCT(($Z$3:$AI$3&lt;AF$3)*($Z217:$AI217-$AJ217:$AS217))))</f>
        <v>0</v>
      </c>
      <c r="M217" s="42" t="n">
        <f aca="false">AQ217+MIN(AG217-AQ217,MAX(0,'Start Here'!$B$10-SUM($AJ217:$AS217)-SUMPRODUCT(($Z$3:$AI$3&lt;AG$3)*($Z217:$AI217-$AJ217:$AS217))))</f>
        <v>0</v>
      </c>
      <c r="N217" s="42" t="n">
        <f aca="false">AR217+MIN(AH217-AR217,MAX(0,'Start Here'!$B$10-SUM($AJ217:$AS217)-SUMPRODUCT(($Z$3:$AI$3&lt;AH$3)*($Z217:$AI217-$AJ217:$AS217))))</f>
        <v>0</v>
      </c>
      <c r="O217" s="42" t="n">
        <f aca="false">AS217+MIN(AI217-AS217,MAX(0,'Start Here'!$B$10-SUM($AJ217:$AS217)-SUMPRODUCT(($Z$3:$AI$3&lt;AI$3)*($Z217:$AI217-$AJ217:$AS217))))</f>
        <v>0</v>
      </c>
      <c r="P217" s="42" t="n">
        <f aca="false">ROUND(Z217-F217,2)</f>
        <v>0</v>
      </c>
      <c r="Q217" s="42" t="n">
        <f aca="false">ROUND(AA217-G217,2)</f>
        <v>0</v>
      </c>
      <c r="R217" s="42" t="n">
        <f aca="false">ROUND(AB217-H217,2)</f>
        <v>0</v>
      </c>
      <c r="S217" s="42" t="n">
        <f aca="false">ROUND(AC217-I217,2)</f>
        <v>0</v>
      </c>
      <c r="T217" s="42" t="n">
        <f aca="false">ROUND(AD217-J217,2)</f>
        <v>0</v>
      </c>
      <c r="U217" s="42" t="n">
        <f aca="false">ROUND(AE217-K217,2)</f>
        <v>0</v>
      </c>
      <c r="V217" s="42" t="n">
        <f aca="false">ROUND(AF217-L217,2)</f>
        <v>0</v>
      </c>
      <c r="W217" s="42" t="n">
        <f aca="false">ROUND(AG217-M217,2)</f>
        <v>0</v>
      </c>
      <c r="X217" s="42" t="n">
        <f aca="false">ROUND(AH217-N217,2)</f>
        <v>0</v>
      </c>
      <c r="Y217" s="42" t="n">
        <f aca="false">ROUND(AI217-O217,2)</f>
        <v>0</v>
      </c>
      <c r="Z217" s="56" t="n">
        <f aca="false">ROUND(P216*(1+N(Debts!$D$5)/12),2)</f>
        <v>0</v>
      </c>
      <c r="AA217" s="56" t="n">
        <f aca="false">ROUND(Q216*(1+N(Debts!$D$6)/12),2)</f>
        <v>0</v>
      </c>
      <c r="AB217" s="56" t="n">
        <f aca="false">ROUND(R216*(1+N(Debts!$D$7)/12),2)</f>
        <v>0</v>
      </c>
      <c r="AC217" s="56" t="n">
        <f aca="false">ROUND(S216*(1+N(Debts!$D$8)/12),2)</f>
        <v>0</v>
      </c>
      <c r="AD217" s="56" t="n">
        <f aca="false">ROUND(T216*(1+N(Debts!$D$9)/12),2)</f>
        <v>0</v>
      </c>
      <c r="AE217" s="56" t="n">
        <f aca="false">ROUND(U216*(1+N(Debts!$D$10)/12),2)</f>
        <v>0</v>
      </c>
      <c r="AF217" s="56" t="n">
        <f aca="false">ROUND(V216*(1+N(Debts!$D$11)/12),2)</f>
        <v>0</v>
      </c>
      <c r="AG217" s="56" t="n">
        <f aca="false">ROUND(W216*(1+N(Debts!$D$12)/12),2)</f>
        <v>0</v>
      </c>
      <c r="AH217" s="56" t="n">
        <f aca="false">ROUND(X216*(1+N(Debts!$D$13)/12),2)</f>
        <v>0</v>
      </c>
      <c r="AI217" s="56" t="n">
        <f aca="false">ROUND(Y216*(1+N(Debts!$D$14)/12),2)</f>
        <v>0</v>
      </c>
      <c r="AJ217" s="56" t="n">
        <f aca="false">MIN(Z217,MAX(0,N(Debts!$E$5)))</f>
        <v>0</v>
      </c>
      <c r="AK217" s="56" t="n">
        <f aca="false">MIN(AA217,MAX(0,N(Debts!$E$6)))</f>
        <v>0</v>
      </c>
      <c r="AL217" s="56" t="n">
        <f aca="false">MIN(AB217,MAX(0,N(Debts!$E$7)))</f>
        <v>0</v>
      </c>
      <c r="AM217" s="56" t="n">
        <f aca="false">MIN(AC217,MAX(0,N(Debts!$E$8)))</f>
        <v>0</v>
      </c>
      <c r="AN217" s="56" t="n">
        <f aca="false">MIN(AD217,MAX(0,N(Debts!$E$9)))</f>
        <v>0</v>
      </c>
      <c r="AO217" s="56" t="n">
        <f aca="false">MIN(AE217,MAX(0,N(Debts!$E$10)))</f>
        <v>0</v>
      </c>
      <c r="AP217" s="56" t="n">
        <f aca="false">MIN(AF217,MAX(0,N(Debts!$E$11)))</f>
        <v>0</v>
      </c>
      <c r="AQ217" s="56" t="n">
        <f aca="false">MIN(AG217,MAX(0,N(Debts!$E$12)))</f>
        <v>0</v>
      </c>
      <c r="AR217" s="56" t="n">
        <f aca="false">MIN(AH217,MAX(0,N(Debts!$E$13)))</f>
        <v>0</v>
      </c>
      <c r="AS217" s="56" t="n">
        <f aca="false">MIN(AI217,MAX(0,N(Debts!$E$14)))</f>
        <v>0</v>
      </c>
    </row>
    <row r="218" customFormat="false" ht="15" hidden="false" customHeight="false" outlineLevel="0" collapsed="false">
      <c r="A218" s="53" t="n">
        <v>214</v>
      </c>
      <c r="B218" s="54" t="n">
        <f aca="false">EDATE('Start Here'!$B$8,213)</f>
        <v>52810</v>
      </c>
      <c r="C218" s="42" t="n">
        <f aca="false">SUM(F218:O218)</f>
        <v>0</v>
      </c>
      <c r="D218" s="42" t="n">
        <f aca="false">ROUND(SUM($Z218:$AI218)-SUM(P217:Y217),2)</f>
        <v>0</v>
      </c>
      <c r="E218" s="55" t="n">
        <f aca="false">SUM(P218:Y218)</f>
        <v>0</v>
      </c>
      <c r="F218" s="42" t="n">
        <f aca="false">AJ218+MIN(Z218-AJ218,MAX(0,'Start Here'!$B$10-SUM($AJ218:$AS218)-SUMPRODUCT(($Z$3:$AI$3&lt;Z$3)*($Z218:$AI218-$AJ218:$AS218))))</f>
        <v>0</v>
      </c>
      <c r="G218" s="42" t="n">
        <f aca="false">AK218+MIN(AA218-AK218,MAX(0,'Start Here'!$B$10-SUM($AJ218:$AS218)-SUMPRODUCT(($Z$3:$AI$3&lt;AA$3)*($Z218:$AI218-$AJ218:$AS218))))</f>
        <v>0</v>
      </c>
      <c r="H218" s="42" t="n">
        <f aca="false">AL218+MIN(AB218-AL218,MAX(0,'Start Here'!$B$10-SUM($AJ218:$AS218)-SUMPRODUCT(($Z$3:$AI$3&lt;AB$3)*($Z218:$AI218-$AJ218:$AS218))))</f>
        <v>0</v>
      </c>
      <c r="I218" s="42" t="n">
        <f aca="false">AM218+MIN(AC218-AM218,MAX(0,'Start Here'!$B$10-SUM($AJ218:$AS218)-SUMPRODUCT(($Z$3:$AI$3&lt;AC$3)*($Z218:$AI218-$AJ218:$AS218))))</f>
        <v>0</v>
      </c>
      <c r="J218" s="42" t="n">
        <f aca="false">AN218+MIN(AD218-AN218,MAX(0,'Start Here'!$B$10-SUM($AJ218:$AS218)-SUMPRODUCT(($Z$3:$AI$3&lt;AD$3)*($Z218:$AI218-$AJ218:$AS218))))</f>
        <v>0</v>
      </c>
      <c r="K218" s="42" t="n">
        <f aca="false">AO218+MIN(AE218-AO218,MAX(0,'Start Here'!$B$10-SUM($AJ218:$AS218)-SUMPRODUCT(($Z$3:$AI$3&lt;AE$3)*($Z218:$AI218-$AJ218:$AS218))))</f>
        <v>0</v>
      </c>
      <c r="L218" s="42" t="n">
        <f aca="false">AP218+MIN(AF218-AP218,MAX(0,'Start Here'!$B$10-SUM($AJ218:$AS218)-SUMPRODUCT(($Z$3:$AI$3&lt;AF$3)*($Z218:$AI218-$AJ218:$AS218))))</f>
        <v>0</v>
      </c>
      <c r="M218" s="42" t="n">
        <f aca="false">AQ218+MIN(AG218-AQ218,MAX(0,'Start Here'!$B$10-SUM($AJ218:$AS218)-SUMPRODUCT(($Z$3:$AI$3&lt;AG$3)*($Z218:$AI218-$AJ218:$AS218))))</f>
        <v>0</v>
      </c>
      <c r="N218" s="42" t="n">
        <f aca="false">AR218+MIN(AH218-AR218,MAX(0,'Start Here'!$B$10-SUM($AJ218:$AS218)-SUMPRODUCT(($Z$3:$AI$3&lt;AH$3)*($Z218:$AI218-$AJ218:$AS218))))</f>
        <v>0</v>
      </c>
      <c r="O218" s="42" t="n">
        <f aca="false">AS218+MIN(AI218-AS218,MAX(0,'Start Here'!$B$10-SUM($AJ218:$AS218)-SUMPRODUCT(($Z$3:$AI$3&lt;AI$3)*($Z218:$AI218-$AJ218:$AS218))))</f>
        <v>0</v>
      </c>
      <c r="P218" s="42" t="n">
        <f aca="false">ROUND(Z218-F218,2)</f>
        <v>0</v>
      </c>
      <c r="Q218" s="42" t="n">
        <f aca="false">ROUND(AA218-G218,2)</f>
        <v>0</v>
      </c>
      <c r="R218" s="42" t="n">
        <f aca="false">ROUND(AB218-H218,2)</f>
        <v>0</v>
      </c>
      <c r="S218" s="42" t="n">
        <f aca="false">ROUND(AC218-I218,2)</f>
        <v>0</v>
      </c>
      <c r="T218" s="42" t="n">
        <f aca="false">ROUND(AD218-J218,2)</f>
        <v>0</v>
      </c>
      <c r="U218" s="42" t="n">
        <f aca="false">ROUND(AE218-K218,2)</f>
        <v>0</v>
      </c>
      <c r="V218" s="42" t="n">
        <f aca="false">ROUND(AF218-L218,2)</f>
        <v>0</v>
      </c>
      <c r="W218" s="42" t="n">
        <f aca="false">ROUND(AG218-M218,2)</f>
        <v>0</v>
      </c>
      <c r="X218" s="42" t="n">
        <f aca="false">ROUND(AH218-N218,2)</f>
        <v>0</v>
      </c>
      <c r="Y218" s="42" t="n">
        <f aca="false">ROUND(AI218-O218,2)</f>
        <v>0</v>
      </c>
      <c r="Z218" s="56" t="n">
        <f aca="false">ROUND(P217*(1+N(Debts!$D$5)/12),2)</f>
        <v>0</v>
      </c>
      <c r="AA218" s="56" t="n">
        <f aca="false">ROUND(Q217*(1+N(Debts!$D$6)/12),2)</f>
        <v>0</v>
      </c>
      <c r="AB218" s="56" t="n">
        <f aca="false">ROUND(R217*(1+N(Debts!$D$7)/12),2)</f>
        <v>0</v>
      </c>
      <c r="AC218" s="56" t="n">
        <f aca="false">ROUND(S217*(1+N(Debts!$D$8)/12),2)</f>
        <v>0</v>
      </c>
      <c r="AD218" s="56" t="n">
        <f aca="false">ROUND(T217*(1+N(Debts!$D$9)/12),2)</f>
        <v>0</v>
      </c>
      <c r="AE218" s="56" t="n">
        <f aca="false">ROUND(U217*(1+N(Debts!$D$10)/12),2)</f>
        <v>0</v>
      </c>
      <c r="AF218" s="56" t="n">
        <f aca="false">ROUND(V217*(1+N(Debts!$D$11)/12),2)</f>
        <v>0</v>
      </c>
      <c r="AG218" s="56" t="n">
        <f aca="false">ROUND(W217*(1+N(Debts!$D$12)/12),2)</f>
        <v>0</v>
      </c>
      <c r="AH218" s="56" t="n">
        <f aca="false">ROUND(X217*(1+N(Debts!$D$13)/12),2)</f>
        <v>0</v>
      </c>
      <c r="AI218" s="56" t="n">
        <f aca="false">ROUND(Y217*(1+N(Debts!$D$14)/12),2)</f>
        <v>0</v>
      </c>
      <c r="AJ218" s="56" t="n">
        <f aca="false">MIN(Z218,MAX(0,N(Debts!$E$5)))</f>
        <v>0</v>
      </c>
      <c r="AK218" s="56" t="n">
        <f aca="false">MIN(AA218,MAX(0,N(Debts!$E$6)))</f>
        <v>0</v>
      </c>
      <c r="AL218" s="56" t="n">
        <f aca="false">MIN(AB218,MAX(0,N(Debts!$E$7)))</f>
        <v>0</v>
      </c>
      <c r="AM218" s="56" t="n">
        <f aca="false">MIN(AC218,MAX(0,N(Debts!$E$8)))</f>
        <v>0</v>
      </c>
      <c r="AN218" s="56" t="n">
        <f aca="false">MIN(AD218,MAX(0,N(Debts!$E$9)))</f>
        <v>0</v>
      </c>
      <c r="AO218" s="56" t="n">
        <f aca="false">MIN(AE218,MAX(0,N(Debts!$E$10)))</f>
        <v>0</v>
      </c>
      <c r="AP218" s="56" t="n">
        <f aca="false">MIN(AF218,MAX(0,N(Debts!$E$11)))</f>
        <v>0</v>
      </c>
      <c r="AQ218" s="56" t="n">
        <f aca="false">MIN(AG218,MAX(0,N(Debts!$E$12)))</f>
        <v>0</v>
      </c>
      <c r="AR218" s="56" t="n">
        <f aca="false">MIN(AH218,MAX(0,N(Debts!$E$13)))</f>
        <v>0</v>
      </c>
      <c r="AS218" s="56" t="n">
        <f aca="false">MIN(AI218,MAX(0,N(Debts!$E$14)))</f>
        <v>0</v>
      </c>
    </row>
    <row r="219" customFormat="false" ht="15" hidden="false" customHeight="false" outlineLevel="0" collapsed="false">
      <c r="A219" s="53" t="n">
        <v>215</v>
      </c>
      <c r="B219" s="54" t="n">
        <f aca="false">EDATE('Start Here'!$B$8,214)</f>
        <v>52841</v>
      </c>
      <c r="C219" s="42" t="n">
        <f aca="false">SUM(F219:O219)</f>
        <v>0</v>
      </c>
      <c r="D219" s="42" t="n">
        <f aca="false">ROUND(SUM($Z219:$AI219)-SUM(P218:Y218),2)</f>
        <v>0</v>
      </c>
      <c r="E219" s="55" t="n">
        <f aca="false">SUM(P219:Y219)</f>
        <v>0</v>
      </c>
      <c r="F219" s="42" t="n">
        <f aca="false">AJ219+MIN(Z219-AJ219,MAX(0,'Start Here'!$B$10-SUM($AJ219:$AS219)-SUMPRODUCT(($Z$3:$AI$3&lt;Z$3)*($Z219:$AI219-$AJ219:$AS219))))</f>
        <v>0</v>
      </c>
      <c r="G219" s="42" t="n">
        <f aca="false">AK219+MIN(AA219-AK219,MAX(0,'Start Here'!$B$10-SUM($AJ219:$AS219)-SUMPRODUCT(($Z$3:$AI$3&lt;AA$3)*($Z219:$AI219-$AJ219:$AS219))))</f>
        <v>0</v>
      </c>
      <c r="H219" s="42" t="n">
        <f aca="false">AL219+MIN(AB219-AL219,MAX(0,'Start Here'!$B$10-SUM($AJ219:$AS219)-SUMPRODUCT(($Z$3:$AI$3&lt;AB$3)*($Z219:$AI219-$AJ219:$AS219))))</f>
        <v>0</v>
      </c>
      <c r="I219" s="42" t="n">
        <f aca="false">AM219+MIN(AC219-AM219,MAX(0,'Start Here'!$B$10-SUM($AJ219:$AS219)-SUMPRODUCT(($Z$3:$AI$3&lt;AC$3)*($Z219:$AI219-$AJ219:$AS219))))</f>
        <v>0</v>
      </c>
      <c r="J219" s="42" t="n">
        <f aca="false">AN219+MIN(AD219-AN219,MAX(0,'Start Here'!$B$10-SUM($AJ219:$AS219)-SUMPRODUCT(($Z$3:$AI$3&lt;AD$3)*($Z219:$AI219-$AJ219:$AS219))))</f>
        <v>0</v>
      </c>
      <c r="K219" s="42" t="n">
        <f aca="false">AO219+MIN(AE219-AO219,MAX(0,'Start Here'!$B$10-SUM($AJ219:$AS219)-SUMPRODUCT(($Z$3:$AI$3&lt;AE$3)*($Z219:$AI219-$AJ219:$AS219))))</f>
        <v>0</v>
      </c>
      <c r="L219" s="42" t="n">
        <f aca="false">AP219+MIN(AF219-AP219,MAX(0,'Start Here'!$B$10-SUM($AJ219:$AS219)-SUMPRODUCT(($Z$3:$AI$3&lt;AF$3)*($Z219:$AI219-$AJ219:$AS219))))</f>
        <v>0</v>
      </c>
      <c r="M219" s="42" t="n">
        <f aca="false">AQ219+MIN(AG219-AQ219,MAX(0,'Start Here'!$B$10-SUM($AJ219:$AS219)-SUMPRODUCT(($Z$3:$AI$3&lt;AG$3)*($Z219:$AI219-$AJ219:$AS219))))</f>
        <v>0</v>
      </c>
      <c r="N219" s="42" t="n">
        <f aca="false">AR219+MIN(AH219-AR219,MAX(0,'Start Here'!$B$10-SUM($AJ219:$AS219)-SUMPRODUCT(($Z$3:$AI$3&lt;AH$3)*($Z219:$AI219-$AJ219:$AS219))))</f>
        <v>0</v>
      </c>
      <c r="O219" s="42" t="n">
        <f aca="false">AS219+MIN(AI219-AS219,MAX(0,'Start Here'!$B$10-SUM($AJ219:$AS219)-SUMPRODUCT(($Z$3:$AI$3&lt;AI$3)*($Z219:$AI219-$AJ219:$AS219))))</f>
        <v>0</v>
      </c>
      <c r="P219" s="42" t="n">
        <f aca="false">ROUND(Z219-F219,2)</f>
        <v>0</v>
      </c>
      <c r="Q219" s="42" t="n">
        <f aca="false">ROUND(AA219-G219,2)</f>
        <v>0</v>
      </c>
      <c r="R219" s="42" t="n">
        <f aca="false">ROUND(AB219-H219,2)</f>
        <v>0</v>
      </c>
      <c r="S219" s="42" t="n">
        <f aca="false">ROUND(AC219-I219,2)</f>
        <v>0</v>
      </c>
      <c r="T219" s="42" t="n">
        <f aca="false">ROUND(AD219-J219,2)</f>
        <v>0</v>
      </c>
      <c r="U219" s="42" t="n">
        <f aca="false">ROUND(AE219-K219,2)</f>
        <v>0</v>
      </c>
      <c r="V219" s="42" t="n">
        <f aca="false">ROUND(AF219-L219,2)</f>
        <v>0</v>
      </c>
      <c r="W219" s="42" t="n">
        <f aca="false">ROUND(AG219-M219,2)</f>
        <v>0</v>
      </c>
      <c r="X219" s="42" t="n">
        <f aca="false">ROUND(AH219-N219,2)</f>
        <v>0</v>
      </c>
      <c r="Y219" s="42" t="n">
        <f aca="false">ROUND(AI219-O219,2)</f>
        <v>0</v>
      </c>
      <c r="Z219" s="56" t="n">
        <f aca="false">ROUND(P218*(1+N(Debts!$D$5)/12),2)</f>
        <v>0</v>
      </c>
      <c r="AA219" s="56" t="n">
        <f aca="false">ROUND(Q218*(1+N(Debts!$D$6)/12),2)</f>
        <v>0</v>
      </c>
      <c r="AB219" s="56" t="n">
        <f aca="false">ROUND(R218*(1+N(Debts!$D$7)/12),2)</f>
        <v>0</v>
      </c>
      <c r="AC219" s="56" t="n">
        <f aca="false">ROUND(S218*(1+N(Debts!$D$8)/12),2)</f>
        <v>0</v>
      </c>
      <c r="AD219" s="56" t="n">
        <f aca="false">ROUND(T218*(1+N(Debts!$D$9)/12),2)</f>
        <v>0</v>
      </c>
      <c r="AE219" s="56" t="n">
        <f aca="false">ROUND(U218*(1+N(Debts!$D$10)/12),2)</f>
        <v>0</v>
      </c>
      <c r="AF219" s="56" t="n">
        <f aca="false">ROUND(V218*(1+N(Debts!$D$11)/12),2)</f>
        <v>0</v>
      </c>
      <c r="AG219" s="56" t="n">
        <f aca="false">ROUND(W218*(1+N(Debts!$D$12)/12),2)</f>
        <v>0</v>
      </c>
      <c r="AH219" s="56" t="n">
        <f aca="false">ROUND(X218*(1+N(Debts!$D$13)/12),2)</f>
        <v>0</v>
      </c>
      <c r="AI219" s="56" t="n">
        <f aca="false">ROUND(Y218*(1+N(Debts!$D$14)/12),2)</f>
        <v>0</v>
      </c>
      <c r="AJ219" s="56" t="n">
        <f aca="false">MIN(Z219,MAX(0,N(Debts!$E$5)))</f>
        <v>0</v>
      </c>
      <c r="AK219" s="56" t="n">
        <f aca="false">MIN(AA219,MAX(0,N(Debts!$E$6)))</f>
        <v>0</v>
      </c>
      <c r="AL219" s="56" t="n">
        <f aca="false">MIN(AB219,MAX(0,N(Debts!$E$7)))</f>
        <v>0</v>
      </c>
      <c r="AM219" s="56" t="n">
        <f aca="false">MIN(AC219,MAX(0,N(Debts!$E$8)))</f>
        <v>0</v>
      </c>
      <c r="AN219" s="56" t="n">
        <f aca="false">MIN(AD219,MAX(0,N(Debts!$E$9)))</f>
        <v>0</v>
      </c>
      <c r="AO219" s="56" t="n">
        <f aca="false">MIN(AE219,MAX(0,N(Debts!$E$10)))</f>
        <v>0</v>
      </c>
      <c r="AP219" s="56" t="n">
        <f aca="false">MIN(AF219,MAX(0,N(Debts!$E$11)))</f>
        <v>0</v>
      </c>
      <c r="AQ219" s="56" t="n">
        <f aca="false">MIN(AG219,MAX(0,N(Debts!$E$12)))</f>
        <v>0</v>
      </c>
      <c r="AR219" s="56" t="n">
        <f aca="false">MIN(AH219,MAX(0,N(Debts!$E$13)))</f>
        <v>0</v>
      </c>
      <c r="AS219" s="56" t="n">
        <f aca="false">MIN(AI219,MAX(0,N(Debts!$E$14)))</f>
        <v>0</v>
      </c>
    </row>
    <row r="220" customFormat="false" ht="15" hidden="false" customHeight="false" outlineLevel="0" collapsed="false">
      <c r="A220" s="53" t="n">
        <v>216</v>
      </c>
      <c r="B220" s="54" t="n">
        <f aca="false">EDATE('Start Here'!$B$8,215)</f>
        <v>52871</v>
      </c>
      <c r="C220" s="42" t="n">
        <f aca="false">SUM(F220:O220)</f>
        <v>0</v>
      </c>
      <c r="D220" s="42" t="n">
        <f aca="false">ROUND(SUM($Z220:$AI220)-SUM(P219:Y219),2)</f>
        <v>0</v>
      </c>
      <c r="E220" s="55" t="n">
        <f aca="false">SUM(P220:Y220)</f>
        <v>0</v>
      </c>
      <c r="F220" s="42" t="n">
        <f aca="false">AJ220+MIN(Z220-AJ220,MAX(0,'Start Here'!$B$10-SUM($AJ220:$AS220)-SUMPRODUCT(($Z$3:$AI$3&lt;Z$3)*($Z220:$AI220-$AJ220:$AS220))))</f>
        <v>0</v>
      </c>
      <c r="G220" s="42" t="n">
        <f aca="false">AK220+MIN(AA220-AK220,MAX(0,'Start Here'!$B$10-SUM($AJ220:$AS220)-SUMPRODUCT(($Z$3:$AI$3&lt;AA$3)*($Z220:$AI220-$AJ220:$AS220))))</f>
        <v>0</v>
      </c>
      <c r="H220" s="42" t="n">
        <f aca="false">AL220+MIN(AB220-AL220,MAX(0,'Start Here'!$B$10-SUM($AJ220:$AS220)-SUMPRODUCT(($Z$3:$AI$3&lt;AB$3)*($Z220:$AI220-$AJ220:$AS220))))</f>
        <v>0</v>
      </c>
      <c r="I220" s="42" t="n">
        <f aca="false">AM220+MIN(AC220-AM220,MAX(0,'Start Here'!$B$10-SUM($AJ220:$AS220)-SUMPRODUCT(($Z$3:$AI$3&lt;AC$3)*($Z220:$AI220-$AJ220:$AS220))))</f>
        <v>0</v>
      </c>
      <c r="J220" s="42" t="n">
        <f aca="false">AN220+MIN(AD220-AN220,MAX(0,'Start Here'!$B$10-SUM($AJ220:$AS220)-SUMPRODUCT(($Z$3:$AI$3&lt;AD$3)*($Z220:$AI220-$AJ220:$AS220))))</f>
        <v>0</v>
      </c>
      <c r="K220" s="42" t="n">
        <f aca="false">AO220+MIN(AE220-AO220,MAX(0,'Start Here'!$B$10-SUM($AJ220:$AS220)-SUMPRODUCT(($Z$3:$AI$3&lt;AE$3)*($Z220:$AI220-$AJ220:$AS220))))</f>
        <v>0</v>
      </c>
      <c r="L220" s="42" t="n">
        <f aca="false">AP220+MIN(AF220-AP220,MAX(0,'Start Here'!$B$10-SUM($AJ220:$AS220)-SUMPRODUCT(($Z$3:$AI$3&lt;AF$3)*($Z220:$AI220-$AJ220:$AS220))))</f>
        <v>0</v>
      </c>
      <c r="M220" s="42" t="n">
        <f aca="false">AQ220+MIN(AG220-AQ220,MAX(0,'Start Here'!$B$10-SUM($AJ220:$AS220)-SUMPRODUCT(($Z$3:$AI$3&lt;AG$3)*($Z220:$AI220-$AJ220:$AS220))))</f>
        <v>0</v>
      </c>
      <c r="N220" s="42" t="n">
        <f aca="false">AR220+MIN(AH220-AR220,MAX(0,'Start Here'!$B$10-SUM($AJ220:$AS220)-SUMPRODUCT(($Z$3:$AI$3&lt;AH$3)*($Z220:$AI220-$AJ220:$AS220))))</f>
        <v>0</v>
      </c>
      <c r="O220" s="42" t="n">
        <f aca="false">AS220+MIN(AI220-AS220,MAX(0,'Start Here'!$B$10-SUM($AJ220:$AS220)-SUMPRODUCT(($Z$3:$AI$3&lt;AI$3)*($Z220:$AI220-$AJ220:$AS220))))</f>
        <v>0</v>
      </c>
      <c r="P220" s="42" t="n">
        <f aca="false">ROUND(Z220-F220,2)</f>
        <v>0</v>
      </c>
      <c r="Q220" s="42" t="n">
        <f aca="false">ROUND(AA220-G220,2)</f>
        <v>0</v>
      </c>
      <c r="R220" s="42" t="n">
        <f aca="false">ROUND(AB220-H220,2)</f>
        <v>0</v>
      </c>
      <c r="S220" s="42" t="n">
        <f aca="false">ROUND(AC220-I220,2)</f>
        <v>0</v>
      </c>
      <c r="T220" s="42" t="n">
        <f aca="false">ROUND(AD220-J220,2)</f>
        <v>0</v>
      </c>
      <c r="U220" s="42" t="n">
        <f aca="false">ROUND(AE220-K220,2)</f>
        <v>0</v>
      </c>
      <c r="V220" s="42" t="n">
        <f aca="false">ROUND(AF220-L220,2)</f>
        <v>0</v>
      </c>
      <c r="W220" s="42" t="n">
        <f aca="false">ROUND(AG220-M220,2)</f>
        <v>0</v>
      </c>
      <c r="X220" s="42" t="n">
        <f aca="false">ROUND(AH220-N220,2)</f>
        <v>0</v>
      </c>
      <c r="Y220" s="42" t="n">
        <f aca="false">ROUND(AI220-O220,2)</f>
        <v>0</v>
      </c>
      <c r="Z220" s="56" t="n">
        <f aca="false">ROUND(P219*(1+N(Debts!$D$5)/12),2)</f>
        <v>0</v>
      </c>
      <c r="AA220" s="56" t="n">
        <f aca="false">ROUND(Q219*(1+N(Debts!$D$6)/12),2)</f>
        <v>0</v>
      </c>
      <c r="AB220" s="56" t="n">
        <f aca="false">ROUND(R219*(1+N(Debts!$D$7)/12),2)</f>
        <v>0</v>
      </c>
      <c r="AC220" s="56" t="n">
        <f aca="false">ROUND(S219*(1+N(Debts!$D$8)/12),2)</f>
        <v>0</v>
      </c>
      <c r="AD220" s="56" t="n">
        <f aca="false">ROUND(T219*(1+N(Debts!$D$9)/12),2)</f>
        <v>0</v>
      </c>
      <c r="AE220" s="56" t="n">
        <f aca="false">ROUND(U219*(1+N(Debts!$D$10)/12),2)</f>
        <v>0</v>
      </c>
      <c r="AF220" s="56" t="n">
        <f aca="false">ROUND(V219*(1+N(Debts!$D$11)/12),2)</f>
        <v>0</v>
      </c>
      <c r="AG220" s="56" t="n">
        <f aca="false">ROUND(W219*(1+N(Debts!$D$12)/12),2)</f>
        <v>0</v>
      </c>
      <c r="AH220" s="56" t="n">
        <f aca="false">ROUND(X219*(1+N(Debts!$D$13)/12),2)</f>
        <v>0</v>
      </c>
      <c r="AI220" s="56" t="n">
        <f aca="false">ROUND(Y219*(1+N(Debts!$D$14)/12),2)</f>
        <v>0</v>
      </c>
      <c r="AJ220" s="56" t="n">
        <f aca="false">MIN(Z220,MAX(0,N(Debts!$E$5)))</f>
        <v>0</v>
      </c>
      <c r="AK220" s="56" t="n">
        <f aca="false">MIN(AA220,MAX(0,N(Debts!$E$6)))</f>
        <v>0</v>
      </c>
      <c r="AL220" s="56" t="n">
        <f aca="false">MIN(AB220,MAX(0,N(Debts!$E$7)))</f>
        <v>0</v>
      </c>
      <c r="AM220" s="56" t="n">
        <f aca="false">MIN(AC220,MAX(0,N(Debts!$E$8)))</f>
        <v>0</v>
      </c>
      <c r="AN220" s="56" t="n">
        <f aca="false">MIN(AD220,MAX(0,N(Debts!$E$9)))</f>
        <v>0</v>
      </c>
      <c r="AO220" s="56" t="n">
        <f aca="false">MIN(AE220,MAX(0,N(Debts!$E$10)))</f>
        <v>0</v>
      </c>
      <c r="AP220" s="56" t="n">
        <f aca="false">MIN(AF220,MAX(0,N(Debts!$E$11)))</f>
        <v>0</v>
      </c>
      <c r="AQ220" s="56" t="n">
        <f aca="false">MIN(AG220,MAX(0,N(Debts!$E$12)))</f>
        <v>0</v>
      </c>
      <c r="AR220" s="56" t="n">
        <f aca="false">MIN(AH220,MAX(0,N(Debts!$E$13)))</f>
        <v>0</v>
      </c>
      <c r="AS220" s="56" t="n">
        <f aca="false">MIN(AI220,MAX(0,N(Debts!$E$14)))</f>
        <v>0</v>
      </c>
    </row>
    <row r="221" customFormat="false" ht="15" hidden="false" customHeight="false" outlineLevel="0" collapsed="false">
      <c r="A221" s="53" t="n">
        <v>217</v>
      </c>
      <c r="B221" s="54" t="n">
        <f aca="false">EDATE('Start Here'!$B$8,216)</f>
        <v>52902</v>
      </c>
      <c r="C221" s="42" t="n">
        <f aca="false">SUM(F221:O221)</f>
        <v>0</v>
      </c>
      <c r="D221" s="42" t="n">
        <f aca="false">ROUND(SUM($Z221:$AI221)-SUM(P220:Y220),2)</f>
        <v>0</v>
      </c>
      <c r="E221" s="55" t="n">
        <f aca="false">SUM(P221:Y221)</f>
        <v>0</v>
      </c>
      <c r="F221" s="42" t="n">
        <f aca="false">AJ221+MIN(Z221-AJ221,MAX(0,'Start Here'!$B$10-SUM($AJ221:$AS221)-SUMPRODUCT(($Z$3:$AI$3&lt;Z$3)*($Z221:$AI221-$AJ221:$AS221))))</f>
        <v>0</v>
      </c>
      <c r="G221" s="42" t="n">
        <f aca="false">AK221+MIN(AA221-AK221,MAX(0,'Start Here'!$B$10-SUM($AJ221:$AS221)-SUMPRODUCT(($Z$3:$AI$3&lt;AA$3)*($Z221:$AI221-$AJ221:$AS221))))</f>
        <v>0</v>
      </c>
      <c r="H221" s="42" t="n">
        <f aca="false">AL221+MIN(AB221-AL221,MAX(0,'Start Here'!$B$10-SUM($AJ221:$AS221)-SUMPRODUCT(($Z$3:$AI$3&lt;AB$3)*($Z221:$AI221-$AJ221:$AS221))))</f>
        <v>0</v>
      </c>
      <c r="I221" s="42" t="n">
        <f aca="false">AM221+MIN(AC221-AM221,MAX(0,'Start Here'!$B$10-SUM($AJ221:$AS221)-SUMPRODUCT(($Z$3:$AI$3&lt;AC$3)*($Z221:$AI221-$AJ221:$AS221))))</f>
        <v>0</v>
      </c>
      <c r="J221" s="42" t="n">
        <f aca="false">AN221+MIN(AD221-AN221,MAX(0,'Start Here'!$B$10-SUM($AJ221:$AS221)-SUMPRODUCT(($Z$3:$AI$3&lt;AD$3)*($Z221:$AI221-$AJ221:$AS221))))</f>
        <v>0</v>
      </c>
      <c r="K221" s="42" t="n">
        <f aca="false">AO221+MIN(AE221-AO221,MAX(0,'Start Here'!$B$10-SUM($AJ221:$AS221)-SUMPRODUCT(($Z$3:$AI$3&lt;AE$3)*($Z221:$AI221-$AJ221:$AS221))))</f>
        <v>0</v>
      </c>
      <c r="L221" s="42" t="n">
        <f aca="false">AP221+MIN(AF221-AP221,MAX(0,'Start Here'!$B$10-SUM($AJ221:$AS221)-SUMPRODUCT(($Z$3:$AI$3&lt;AF$3)*($Z221:$AI221-$AJ221:$AS221))))</f>
        <v>0</v>
      </c>
      <c r="M221" s="42" t="n">
        <f aca="false">AQ221+MIN(AG221-AQ221,MAX(0,'Start Here'!$B$10-SUM($AJ221:$AS221)-SUMPRODUCT(($Z$3:$AI$3&lt;AG$3)*($Z221:$AI221-$AJ221:$AS221))))</f>
        <v>0</v>
      </c>
      <c r="N221" s="42" t="n">
        <f aca="false">AR221+MIN(AH221-AR221,MAX(0,'Start Here'!$B$10-SUM($AJ221:$AS221)-SUMPRODUCT(($Z$3:$AI$3&lt;AH$3)*($Z221:$AI221-$AJ221:$AS221))))</f>
        <v>0</v>
      </c>
      <c r="O221" s="42" t="n">
        <f aca="false">AS221+MIN(AI221-AS221,MAX(0,'Start Here'!$B$10-SUM($AJ221:$AS221)-SUMPRODUCT(($Z$3:$AI$3&lt;AI$3)*($Z221:$AI221-$AJ221:$AS221))))</f>
        <v>0</v>
      </c>
      <c r="P221" s="42" t="n">
        <f aca="false">ROUND(Z221-F221,2)</f>
        <v>0</v>
      </c>
      <c r="Q221" s="42" t="n">
        <f aca="false">ROUND(AA221-G221,2)</f>
        <v>0</v>
      </c>
      <c r="R221" s="42" t="n">
        <f aca="false">ROUND(AB221-H221,2)</f>
        <v>0</v>
      </c>
      <c r="S221" s="42" t="n">
        <f aca="false">ROUND(AC221-I221,2)</f>
        <v>0</v>
      </c>
      <c r="T221" s="42" t="n">
        <f aca="false">ROUND(AD221-J221,2)</f>
        <v>0</v>
      </c>
      <c r="U221" s="42" t="n">
        <f aca="false">ROUND(AE221-K221,2)</f>
        <v>0</v>
      </c>
      <c r="V221" s="42" t="n">
        <f aca="false">ROUND(AF221-L221,2)</f>
        <v>0</v>
      </c>
      <c r="W221" s="42" t="n">
        <f aca="false">ROUND(AG221-M221,2)</f>
        <v>0</v>
      </c>
      <c r="X221" s="42" t="n">
        <f aca="false">ROUND(AH221-N221,2)</f>
        <v>0</v>
      </c>
      <c r="Y221" s="42" t="n">
        <f aca="false">ROUND(AI221-O221,2)</f>
        <v>0</v>
      </c>
      <c r="Z221" s="56" t="n">
        <f aca="false">ROUND(P220*(1+N(Debts!$D$5)/12),2)</f>
        <v>0</v>
      </c>
      <c r="AA221" s="56" t="n">
        <f aca="false">ROUND(Q220*(1+N(Debts!$D$6)/12),2)</f>
        <v>0</v>
      </c>
      <c r="AB221" s="56" t="n">
        <f aca="false">ROUND(R220*(1+N(Debts!$D$7)/12),2)</f>
        <v>0</v>
      </c>
      <c r="AC221" s="56" t="n">
        <f aca="false">ROUND(S220*(1+N(Debts!$D$8)/12),2)</f>
        <v>0</v>
      </c>
      <c r="AD221" s="56" t="n">
        <f aca="false">ROUND(T220*(1+N(Debts!$D$9)/12),2)</f>
        <v>0</v>
      </c>
      <c r="AE221" s="56" t="n">
        <f aca="false">ROUND(U220*(1+N(Debts!$D$10)/12),2)</f>
        <v>0</v>
      </c>
      <c r="AF221" s="56" t="n">
        <f aca="false">ROUND(V220*(1+N(Debts!$D$11)/12),2)</f>
        <v>0</v>
      </c>
      <c r="AG221" s="56" t="n">
        <f aca="false">ROUND(W220*(1+N(Debts!$D$12)/12),2)</f>
        <v>0</v>
      </c>
      <c r="AH221" s="56" t="n">
        <f aca="false">ROUND(X220*(1+N(Debts!$D$13)/12),2)</f>
        <v>0</v>
      </c>
      <c r="AI221" s="56" t="n">
        <f aca="false">ROUND(Y220*(1+N(Debts!$D$14)/12),2)</f>
        <v>0</v>
      </c>
      <c r="AJ221" s="56" t="n">
        <f aca="false">MIN(Z221,MAX(0,N(Debts!$E$5)))</f>
        <v>0</v>
      </c>
      <c r="AK221" s="56" t="n">
        <f aca="false">MIN(AA221,MAX(0,N(Debts!$E$6)))</f>
        <v>0</v>
      </c>
      <c r="AL221" s="56" t="n">
        <f aca="false">MIN(AB221,MAX(0,N(Debts!$E$7)))</f>
        <v>0</v>
      </c>
      <c r="AM221" s="56" t="n">
        <f aca="false">MIN(AC221,MAX(0,N(Debts!$E$8)))</f>
        <v>0</v>
      </c>
      <c r="AN221" s="56" t="n">
        <f aca="false">MIN(AD221,MAX(0,N(Debts!$E$9)))</f>
        <v>0</v>
      </c>
      <c r="AO221" s="56" t="n">
        <f aca="false">MIN(AE221,MAX(0,N(Debts!$E$10)))</f>
        <v>0</v>
      </c>
      <c r="AP221" s="56" t="n">
        <f aca="false">MIN(AF221,MAX(0,N(Debts!$E$11)))</f>
        <v>0</v>
      </c>
      <c r="AQ221" s="56" t="n">
        <f aca="false">MIN(AG221,MAX(0,N(Debts!$E$12)))</f>
        <v>0</v>
      </c>
      <c r="AR221" s="56" t="n">
        <f aca="false">MIN(AH221,MAX(0,N(Debts!$E$13)))</f>
        <v>0</v>
      </c>
      <c r="AS221" s="56" t="n">
        <f aca="false">MIN(AI221,MAX(0,N(Debts!$E$14)))</f>
        <v>0</v>
      </c>
    </row>
    <row r="222" customFormat="false" ht="15" hidden="false" customHeight="false" outlineLevel="0" collapsed="false">
      <c r="A222" s="53" t="n">
        <v>218</v>
      </c>
      <c r="B222" s="54" t="n">
        <f aca="false">EDATE('Start Here'!$B$8,217)</f>
        <v>52932</v>
      </c>
      <c r="C222" s="42" t="n">
        <f aca="false">SUM(F222:O222)</f>
        <v>0</v>
      </c>
      <c r="D222" s="42" t="n">
        <f aca="false">ROUND(SUM($Z222:$AI222)-SUM(P221:Y221),2)</f>
        <v>0</v>
      </c>
      <c r="E222" s="55" t="n">
        <f aca="false">SUM(P222:Y222)</f>
        <v>0</v>
      </c>
      <c r="F222" s="42" t="n">
        <f aca="false">AJ222+MIN(Z222-AJ222,MAX(0,'Start Here'!$B$10-SUM($AJ222:$AS222)-SUMPRODUCT(($Z$3:$AI$3&lt;Z$3)*($Z222:$AI222-$AJ222:$AS222))))</f>
        <v>0</v>
      </c>
      <c r="G222" s="42" t="n">
        <f aca="false">AK222+MIN(AA222-AK222,MAX(0,'Start Here'!$B$10-SUM($AJ222:$AS222)-SUMPRODUCT(($Z$3:$AI$3&lt;AA$3)*($Z222:$AI222-$AJ222:$AS222))))</f>
        <v>0</v>
      </c>
      <c r="H222" s="42" t="n">
        <f aca="false">AL222+MIN(AB222-AL222,MAX(0,'Start Here'!$B$10-SUM($AJ222:$AS222)-SUMPRODUCT(($Z$3:$AI$3&lt;AB$3)*($Z222:$AI222-$AJ222:$AS222))))</f>
        <v>0</v>
      </c>
      <c r="I222" s="42" t="n">
        <f aca="false">AM222+MIN(AC222-AM222,MAX(0,'Start Here'!$B$10-SUM($AJ222:$AS222)-SUMPRODUCT(($Z$3:$AI$3&lt;AC$3)*($Z222:$AI222-$AJ222:$AS222))))</f>
        <v>0</v>
      </c>
      <c r="J222" s="42" t="n">
        <f aca="false">AN222+MIN(AD222-AN222,MAX(0,'Start Here'!$B$10-SUM($AJ222:$AS222)-SUMPRODUCT(($Z$3:$AI$3&lt;AD$3)*($Z222:$AI222-$AJ222:$AS222))))</f>
        <v>0</v>
      </c>
      <c r="K222" s="42" t="n">
        <f aca="false">AO222+MIN(AE222-AO222,MAX(0,'Start Here'!$B$10-SUM($AJ222:$AS222)-SUMPRODUCT(($Z$3:$AI$3&lt;AE$3)*($Z222:$AI222-$AJ222:$AS222))))</f>
        <v>0</v>
      </c>
      <c r="L222" s="42" t="n">
        <f aca="false">AP222+MIN(AF222-AP222,MAX(0,'Start Here'!$B$10-SUM($AJ222:$AS222)-SUMPRODUCT(($Z$3:$AI$3&lt;AF$3)*($Z222:$AI222-$AJ222:$AS222))))</f>
        <v>0</v>
      </c>
      <c r="M222" s="42" t="n">
        <f aca="false">AQ222+MIN(AG222-AQ222,MAX(0,'Start Here'!$B$10-SUM($AJ222:$AS222)-SUMPRODUCT(($Z$3:$AI$3&lt;AG$3)*($Z222:$AI222-$AJ222:$AS222))))</f>
        <v>0</v>
      </c>
      <c r="N222" s="42" t="n">
        <f aca="false">AR222+MIN(AH222-AR222,MAX(0,'Start Here'!$B$10-SUM($AJ222:$AS222)-SUMPRODUCT(($Z$3:$AI$3&lt;AH$3)*($Z222:$AI222-$AJ222:$AS222))))</f>
        <v>0</v>
      </c>
      <c r="O222" s="42" t="n">
        <f aca="false">AS222+MIN(AI222-AS222,MAX(0,'Start Here'!$B$10-SUM($AJ222:$AS222)-SUMPRODUCT(($Z$3:$AI$3&lt;AI$3)*($Z222:$AI222-$AJ222:$AS222))))</f>
        <v>0</v>
      </c>
      <c r="P222" s="42" t="n">
        <f aca="false">ROUND(Z222-F222,2)</f>
        <v>0</v>
      </c>
      <c r="Q222" s="42" t="n">
        <f aca="false">ROUND(AA222-G222,2)</f>
        <v>0</v>
      </c>
      <c r="R222" s="42" t="n">
        <f aca="false">ROUND(AB222-H222,2)</f>
        <v>0</v>
      </c>
      <c r="S222" s="42" t="n">
        <f aca="false">ROUND(AC222-I222,2)</f>
        <v>0</v>
      </c>
      <c r="T222" s="42" t="n">
        <f aca="false">ROUND(AD222-J222,2)</f>
        <v>0</v>
      </c>
      <c r="U222" s="42" t="n">
        <f aca="false">ROUND(AE222-K222,2)</f>
        <v>0</v>
      </c>
      <c r="V222" s="42" t="n">
        <f aca="false">ROUND(AF222-L222,2)</f>
        <v>0</v>
      </c>
      <c r="W222" s="42" t="n">
        <f aca="false">ROUND(AG222-M222,2)</f>
        <v>0</v>
      </c>
      <c r="X222" s="42" t="n">
        <f aca="false">ROUND(AH222-N222,2)</f>
        <v>0</v>
      </c>
      <c r="Y222" s="42" t="n">
        <f aca="false">ROUND(AI222-O222,2)</f>
        <v>0</v>
      </c>
      <c r="Z222" s="56" t="n">
        <f aca="false">ROUND(P221*(1+N(Debts!$D$5)/12),2)</f>
        <v>0</v>
      </c>
      <c r="AA222" s="56" t="n">
        <f aca="false">ROUND(Q221*(1+N(Debts!$D$6)/12),2)</f>
        <v>0</v>
      </c>
      <c r="AB222" s="56" t="n">
        <f aca="false">ROUND(R221*(1+N(Debts!$D$7)/12),2)</f>
        <v>0</v>
      </c>
      <c r="AC222" s="56" t="n">
        <f aca="false">ROUND(S221*(1+N(Debts!$D$8)/12),2)</f>
        <v>0</v>
      </c>
      <c r="AD222" s="56" t="n">
        <f aca="false">ROUND(T221*(1+N(Debts!$D$9)/12),2)</f>
        <v>0</v>
      </c>
      <c r="AE222" s="56" t="n">
        <f aca="false">ROUND(U221*(1+N(Debts!$D$10)/12),2)</f>
        <v>0</v>
      </c>
      <c r="AF222" s="56" t="n">
        <f aca="false">ROUND(V221*(1+N(Debts!$D$11)/12),2)</f>
        <v>0</v>
      </c>
      <c r="AG222" s="56" t="n">
        <f aca="false">ROUND(W221*(1+N(Debts!$D$12)/12),2)</f>
        <v>0</v>
      </c>
      <c r="AH222" s="56" t="n">
        <f aca="false">ROUND(X221*(1+N(Debts!$D$13)/12),2)</f>
        <v>0</v>
      </c>
      <c r="AI222" s="56" t="n">
        <f aca="false">ROUND(Y221*(1+N(Debts!$D$14)/12),2)</f>
        <v>0</v>
      </c>
      <c r="AJ222" s="56" t="n">
        <f aca="false">MIN(Z222,MAX(0,N(Debts!$E$5)))</f>
        <v>0</v>
      </c>
      <c r="AK222" s="56" t="n">
        <f aca="false">MIN(AA222,MAX(0,N(Debts!$E$6)))</f>
        <v>0</v>
      </c>
      <c r="AL222" s="56" t="n">
        <f aca="false">MIN(AB222,MAX(0,N(Debts!$E$7)))</f>
        <v>0</v>
      </c>
      <c r="AM222" s="56" t="n">
        <f aca="false">MIN(AC222,MAX(0,N(Debts!$E$8)))</f>
        <v>0</v>
      </c>
      <c r="AN222" s="56" t="n">
        <f aca="false">MIN(AD222,MAX(0,N(Debts!$E$9)))</f>
        <v>0</v>
      </c>
      <c r="AO222" s="56" t="n">
        <f aca="false">MIN(AE222,MAX(0,N(Debts!$E$10)))</f>
        <v>0</v>
      </c>
      <c r="AP222" s="56" t="n">
        <f aca="false">MIN(AF222,MAX(0,N(Debts!$E$11)))</f>
        <v>0</v>
      </c>
      <c r="AQ222" s="56" t="n">
        <f aca="false">MIN(AG222,MAX(0,N(Debts!$E$12)))</f>
        <v>0</v>
      </c>
      <c r="AR222" s="56" t="n">
        <f aca="false">MIN(AH222,MAX(0,N(Debts!$E$13)))</f>
        <v>0</v>
      </c>
      <c r="AS222" s="56" t="n">
        <f aca="false">MIN(AI222,MAX(0,N(Debts!$E$14)))</f>
        <v>0</v>
      </c>
    </row>
    <row r="223" customFormat="false" ht="15" hidden="false" customHeight="false" outlineLevel="0" collapsed="false">
      <c r="A223" s="53" t="n">
        <v>219</v>
      </c>
      <c r="B223" s="54" t="n">
        <f aca="false">EDATE('Start Here'!$B$8,218)</f>
        <v>52963</v>
      </c>
      <c r="C223" s="42" t="n">
        <f aca="false">SUM(F223:O223)</f>
        <v>0</v>
      </c>
      <c r="D223" s="42" t="n">
        <f aca="false">ROUND(SUM($Z223:$AI223)-SUM(P222:Y222),2)</f>
        <v>0</v>
      </c>
      <c r="E223" s="55" t="n">
        <f aca="false">SUM(P223:Y223)</f>
        <v>0</v>
      </c>
      <c r="F223" s="42" t="n">
        <f aca="false">AJ223+MIN(Z223-AJ223,MAX(0,'Start Here'!$B$10-SUM($AJ223:$AS223)-SUMPRODUCT(($Z$3:$AI$3&lt;Z$3)*($Z223:$AI223-$AJ223:$AS223))))</f>
        <v>0</v>
      </c>
      <c r="G223" s="42" t="n">
        <f aca="false">AK223+MIN(AA223-AK223,MAX(0,'Start Here'!$B$10-SUM($AJ223:$AS223)-SUMPRODUCT(($Z$3:$AI$3&lt;AA$3)*($Z223:$AI223-$AJ223:$AS223))))</f>
        <v>0</v>
      </c>
      <c r="H223" s="42" t="n">
        <f aca="false">AL223+MIN(AB223-AL223,MAX(0,'Start Here'!$B$10-SUM($AJ223:$AS223)-SUMPRODUCT(($Z$3:$AI$3&lt;AB$3)*($Z223:$AI223-$AJ223:$AS223))))</f>
        <v>0</v>
      </c>
      <c r="I223" s="42" t="n">
        <f aca="false">AM223+MIN(AC223-AM223,MAX(0,'Start Here'!$B$10-SUM($AJ223:$AS223)-SUMPRODUCT(($Z$3:$AI$3&lt;AC$3)*($Z223:$AI223-$AJ223:$AS223))))</f>
        <v>0</v>
      </c>
      <c r="J223" s="42" t="n">
        <f aca="false">AN223+MIN(AD223-AN223,MAX(0,'Start Here'!$B$10-SUM($AJ223:$AS223)-SUMPRODUCT(($Z$3:$AI$3&lt;AD$3)*($Z223:$AI223-$AJ223:$AS223))))</f>
        <v>0</v>
      </c>
      <c r="K223" s="42" t="n">
        <f aca="false">AO223+MIN(AE223-AO223,MAX(0,'Start Here'!$B$10-SUM($AJ223:$AS223)-SUMPRODUCT(($Z$3:$AI$3&lt;AE$3)*($Z223:$AI223-$AJ223:$AS223))))</f>
        <v>0</v>
      </c>
      <c r="L223" s="42" t="n">
        <f aca="false">AP223+MIN(AF223-AP223,MAX(0,'Start Here'!$B$10-SUM($AJ223:$AS223)-SUMPRODUCT(($Z$3:$AI$3&lt;AF$3)*($Z223:$AI223-$AJ223:$AS223))))</f>
        <v>0</v>
      </c>
      <c r="M223" s="42" t="n">
        <f aca="false">AQ223+MIN(AG223-AQ223,MAX(0,'Start Here'!$B$10-SUM($AJ223:$AS223)-SUMPRODUCT(($Z$3:$AI$3&lt;AG$3)*($Z223:$AI223-$AJ223:$AS223))))</f>
        <v>0</v>
      </c>
      <c r="N223" s="42" t="n">
        <f aca="false">AR223+MIN(AH223-AR223,MAX(0,'Start Here'!$B$10-SUM($AJ223:$AS223)-SUMPRODUCT(($Z$3:$AI$3&lt;AH$3)*($Z223:$AI223-$AJ223:$AS223))))</f>
        <v>0</v>
      </c>
      <c r="O223" s="42" t="n">
        <f aca="false">AS223+MIN(AI223-AS223,MAX(0,'Start Here'!$B$10-SUM($AJ223:$AS223)-SUMPRODUCT(($Z$3:$AI$3&lt;AI$3)*($Z223:$AI223-$AJ223:$AS223))))</f>
        <v>0</v>
      </c>
      <c r="P223" s="42" t="n">
        <f aca="false">ROUND(Z223-F223,2)</f>
        <v>0</v>
      </c>
      <c r="Q223" s="42" t="n">
        <f aca="false">ROUND(AA223-G223,2)</f>
        <v>0</v>
      </c>
      <c r="R223" s="42" t="n">
        <f aca="false">ROUND(AB223-H223,2)</f>
        <v>0</v>
      </c>
      <c r="S223" s="42" t="n">
        <f aca="false">ROUND(AC223-I223,2)</f>
        <v>0</v>
      </c>
      <c r="T223" s="42" t="n">
        <f aca="false">ROUND(AD223-J223,2)</f>
        <v>0</v>
      </c>
      <c r="U223" s="42" t="n">
        <f aca="false">ROUND(AE223-K223,2)</f>
        <v>0</v>
      </c>
      <c r="V223" s="42" t="n">
        <f aca="false">ROUND(AF223-L223,2)</f>
        <v>0</v>
      </c>
      <c r="W223" s="42" t="n">
        <f aca="false">ROUND(AG223-M223,2)</f>
        <v>0</v>
      </c>
      <c r="X223" s="42" t="n">
        <f aca="false">ROUND(AH223-N223,2)</f>
        <v>0</v>
      </c>
      <c r="Y223" s="42" t="n">
        <f aca="false">ROUND(AI223-O223,2)</f>
        <v>0</v>
      </c>
      <c r="Z223" s="56" t="n">
        <f aca="false">ROUND(P222*(1+N(Debts!$D$5)/12),2)</f>
        <v>0</v>
      </c>
      <c r="AA223" s="56" t="n">
        <f aca="false">ROUND(Q222*(1+N(Debts!$D$6)/12),2)</f>
        <v>0</v>
      </c>
      <c r="AB223" s="56" t="n">
        <f aca="false">ROUND(R222*(1+N(Debts!$D$7)/12),2)</f>
        <v>0</v>
      </c>
      <c r="AC223" s="56" t="n">
        <f aca="false">ROUND(S222*(1+N(Debts!$D$8)/12),2)</f>
        <v>0</v>
      </c>
      <c r="AD223" s="56" t="n">
        <f aca="false">ROUND(T222*(1+N(Debts!$D$9)/12),2)</f>
        <v>0</v>
      </c>
      <c r="AE223" s="56" t="n">
        <f aca="false">ROUND(U222*(1+N(Debts!$D$10)/12),2)</f>
        <v>0</v>
      </c>
      <c r="AF223" s="56" t="n">
        <f aca="false">ROUND(V222*(1+N(Debts!$D$11)/12),2)</f>
        <v>0</v>
      </c>
      <c r="AG223" s="56" t="n">
        <f aca="false">ROUND(W222*(1+N(Debts!$D$12)/12),2)</f>
        <v>0</v>
      </c>
      <c r="AH223" s="56" t="n">
        <f aca="false">ROUND(X222*(1+N(Debts!$D$13)/12),2)</f>
        <v>0</v>
      </c>
      <c r="AI223" s="56" t="n">
        <f aca="false">ROUND(Y222*(1+N(Debts!$D$14)/12),2)</f>
        <v>0</v>
      </c>
      <c r="AJ223" s="56" t="n">
        <f aca="false">MIN(Z223,MAX(0,N(Debts!$E$5)))</f>
        <v>0</v>
      </c>
      <c r="AK223" s="56" t="n">
        <f aca="false">MIN(AA223,MAX(0,N(Debts!$E$6)))</f>
        <v>0</v>
      </c>
      <c r="AL223" s="56" t="n">
        <f aca="false">MIN(AB223,MAX(0,N(Debts!$E$7)))</f>
        <v>0</v>
      </c>
      <c r="AM223" s="56" t="n">
        <f aca="false">MIN(AC223,MAX(0,N(Debts!$E$8)))</f>
        <v>0</v>
      </c>
      <c r="AN223" s="56" t="n">
        <f aca="false">MIN(AD223,MAX(0,N(Debts!$E$9)))</f>
        <v>0</v>
      </c>
      <c r="AO223" s="56" t="n">
        <f aca="false">MIN(AE223,MAX(0,N(Debts!$E$10)))</f>
        <v>0</v>
      </c>
      <c r="AP223" s="56" t="n">
        <f aca="false">MIN(AF223,MAX(0,N(Debts!$E$11)))</f>
        <v>0</v>
      </c>
      <c r="AQ223" s="56" t="n">
        <f aca="false">MIN(AG223,MAX(0,N(Debts!$E$12)))</f>
        <v>0</v>
      </c>
      <c r="AR223" s="56" t="n">
        <f aca="false">MIN(AH223,MAX(0,N(Debts!$E$13)))</f>
        <v>0</v>
      </c>
      <c r="AS223" s="56" t="n">
        <f aca="false">MIN(AI223,MAX(0,N(Debts!$E$14)))</f>
        <v>0</v>
      </c>
    </row>
    <row r="224" customFormat="false" ht="15" hidden="false" customHeight="false" outlineLevel="0" collapsed="false">
      <c r="A224" s="53" t="n">
        <v>220</v>
      </c>
      <c r="B224" s="54" t="n">
        <f aca="false">EDATE('Start Here'!$B$8,219)</f>
        <v>52994</v>
      </c>
      <c r="C224" s="42" t="n">
        <f aca="false">SUM(F224:O224)</f>
        <v>0</v>
      </c>
      <c r="D224" s="42" t="n">
        <f aca="false">ROUND(SUM($Z224:$AI224)-SUM(P223:Y223),2)</f>
        <v>0</v>
      </c>
      <c r="E224" s="55" t="n">
        <f aca="false">SUM(P224:Y224)</f>
        <v>0</v>
      </c>
      <c r="F224" s="42" t="n">
        <f aca="false">AJ224+MIN(Z224-AJ224,MAX(0,'Start Here'!$B$10-SUM($AJ224:$AS224)-SUMPRODUCT(($Z$3:$AI$3&lt;Z$3)*($Z224:$AI224-$AJ224:$AS224))))</f>
        <v>0</v>
      </c>
      <c r="G224" s="42" t="n">
        <f aca="false">AK224+MIN(AA224-AK224,MAX(0,'Start Here'!$B$10-SUM($AJ224:$AS224)-SUMPRODUCT(($Z$3:$AI$3&lt;AA$3)*($Z224:$AI224-$AJ224:$AS224))))</f>
        <v>0</v>
      </c>
      <c r="H224" s="42" t="n">
        <f aca="false">AL224+MIN(AB224-AL224,MAX(0,'Start Here'!$B$10-SUM($AJ224:$AS224)-SUMPRODUCT(($Z$3:$AI$3&lt;AB$3)*($Z224:$AI224-$AJ224:$AS224))))</f>
        <v>0</v>
      </c>
      <c r="I224" s="42" t="n">
        <f aca="false">AM224+MIN(AC224-AM224,MAX(0,'Start Here'!$B$10-SUM($AJ224:$AS224)-SUMPRODUCT(($Z$3:$AI$3&lt;AC$3)*($Z224:$AI224-$AJ224:$AS224))))</f>
        <v>0</v>
      </c>
      <c r="J224" s="42" t="n">
        <f aca="false">AN224+MIN(AD224-AN224,MAX(0,'Start Here'!$B$10-SUM($AJ224:$AS224)-SUMPRODUCT(($Z$3:$AI$3&lt;AD$3)*($Z224:$AI224-$AJ224:$AS224))))</f>
        <v>0</v>
      </c>
      <c r="K224" s="42" t="n">
        <f aca="false">AO224+MIN(AE224-AO224,MAX(0,'Start Here'!$B$10-SUM($AJ224:$AS224)-SUMPRODUCT(($Z$3:$AI$3&lt;AE$3)*($Z224:$AI224-$AJ224:$AS224))))</f>
        <v>0</v>
      </c>
      <c r="L224" s="42" t="n">
        <f aca="false">AP224+MIN(AF224-AP224,MAX(0,'Start Here'!$B$10-SUM($AJ224:$AS224)-SUMPRODUCT(($Z$3:$AI$3&lt;AF$3)*($Z224:$AI224-$AJ224:$AS224))))</f>
        <v>0</v>
      </c>
      <c r="M224" s="42" t="n">
        <f aca="false">AQ224+MIN(AG224-AQ224,MAX(0,'Start Here'!$B$10-SUM($AJ224:$AS224)-SUMPRODUCT(($Z$3:$AI$3&lt;AG$3)*($Z224:$AI224-$AJ224:$AS224))))</f>
        <v>0</v>
      </c>
      <c r="N224" s="42" t="n">
        <f aca="false">AR224+MIN(AH224-AR224,MAX(0,'Start Here'!$B$10-SUM($AJ224:$AS224)-SUMPRODUCT(($Z$3:$AI$3&lt;AH$3)*($Z224:$AI224-$AJ224:$AS224))))</f>
        <v>0</v>
      </c>
      <c r="O224" s="42" t="n">
        <f aca="false">AS224+MIN(AI224-AS224,MAX(0,'Start Here'!$B$10-SUM($AJ224:$AS224)-SUMPRODUCT(($Z$3:$AI$3&lt;AI$3)*($Z224:$AI224-$AJ224:$AS224))))</f>
        <v>0</v>
      </c>
      <c r="P224" s="42" t="n">
        <f aca="false">ROUND(Z224-F224,2)</f>
        <v>0</v>
      </c>
      <c r="Q224" s="42" t="n">
        <f aca="false">ROUND(AA224-G224,2)</f>
        <v>0</v>
      </c>
      <c r="R224" s="42" t="n">
        <f aca="false">ROUND(AB224-H224,2)</f>
        <v>0</v>
      </c>
      <c r="S224" s="42" t="n">
        <f aca="false">ROUND(AC224-I224,2)</f>
        <v>0</v>
      </c>
      <c r="T224" s="42" t="n">
        <f aca="false">ROUND(AD224-J224,2)</f>
        <v>0</v>
      </c>
      <c r="U224" s="42" t="n">
        <f aca="false">ROUND(AE224-K224,2)</f>
        <v>0</v>
      </c>
      <c r="V224" s="42" t="n">
        <f aca="false">ROUND(AF224-L224,2)</f>
        <v>0</v>
      </c>
      <c r="W224" s="42" t="n">
        <f aca="false">ROUND(AG224-M224,2)</f>
        <v>0</v>
      </c>
      <c r="X224" s="42" t="n">
        <f aca="false">ROUND(AH224-N224,2)</f>
        <v>0</v>
      </c>
      <c r="Y224" s="42" t="n">
        <f aca="false">ROUND(AI224-O224,2)</f>
        <v>0</v>
      </c>
      <c r="Z224" s="56" t="n">
        <f aca="false">ROUND(P223*(1+N(Debts!$D$5)/12),2)</f>
        <v>0</v>
      </c>
      <c r="AA224" s="56" t="n">
        <f aca="false">ROUND(Q223*(1+N(Debts!$D$6)/12),2)</f>
        <v>0</v>
      </c>
      <c r="AB224" s="56" t="n">
        <f aca="false">ROUND(R223*(1+N(Debts!$D$7)/12),2)</f>
        <v>0</v>
      </c>
      <c r="AC224" s="56" t="n">
        <f aca="false">ROUND(S223*(1+N(Debts!$D$8)/12),2)</f>
        <v>0</v>
      </c>
      <c r="AD224" s="56" t="n">
        <f aca="false">ROUND(T223*(1+N(Debts!$D$9)/12),2)</f>
        <v>0</v>
      </c>
      <c r="AE224" s="56" t="n">
        <f aca="false">ROUND(U223*(1+N(Debts!$D$10)/12),2)</f>
        <v>0</v>
      </c>
      <c r="AF224" s="56" t="n">
        <f aca="false">ROUND(V223*(1+N(Debts!$D$11)/12),2)</f>
        <v>0</v>
      </c>
      <c r="AG224" s="56" t="n">
        <f aca="false">ROUND(W223*(1+N(Debts!$D$12)/12),2)</f>
        <v>0</v>
      </c>
      <c r="AH224" s="56" t="n">
        <f aca="false">ROUND(X223*(1+N(Debts!$D$13)/12),2)</f>
        <v>0</v>
      </c>
      <c r="AI224" s="56" t="n">
        <f aca="false">ROUND(Y223*(1+N(Debts!$D$14)/12),2)</f>
        <v>0</v>
      </c>
      <c r="AJ224" s="56" t="n">
        <f aca="false">MIN(Z224,MAX(0,N(Debts!$E$5)))</f>
        <v>0</v>
      </c>
      <c r="AK224" s="56" t="n">
        <f aca="false">MIN(AA224,MAX(0,N(Debts!$E$6)))</f>
        <v>0</v>
      </c>
      <c r="AL224" s="56" t="n">
        <f aca="false">MIN(AB224,MAX(0,N(Debts!$E$7)))</f>
        <v>0</v>
      </c>
      <c r="AM224" s="56" t="n">
        <f aca="false">MIN(AC224,MAX(0,N(Debts!$E$8)))</f>
        <v>0</v>
      </c>
      <c r="AN224" s="56" t="n">
        <f aca="false">MIN(AD224,MAX(0,N(Debts!$E$9)))</f>
        <v>0</v>
      </c>
      <c r="AO224" s="56" t="n">
        <f aca="false">MIN(AE224,MAX(0,N(Debts!$E$10)))</f>
        <v>0</v>
      </c>
      <c r="AP224" s="56" t="n">
        <f aca="false">MIN(AF224,MAX(0,N(Debts!$E$11)))</f>
        <v>0</v>
      </c>
      <c r="AQ224" s="56" t="n">
        <f aca="false">MIN(AG224,MAX(0,N(Debts!$E$12)))</f>
        <v>0</v>
      </c>
      <c r="AR224" s="56" t="n">
        <f aca="false">MIN(AH224,MAX(0,N(Debts!$E$13)))</f>
        <v>0</v>
      </c>
      <c r="AS224" s="56" t="n">
        <f aca="false">MIN(AI224,MAX(0,N(Debts!$E$14)))</f>
        <v>0</v>
      </c>
    </row>
    <row r="225" customFormat="false" ht="15" hidden="false" customHeight="false" outlineLevel="0" collapsed="false">
      <c r="A225" s="53" t="n">
        <v>221</v>
      </c>
      <c r="B225" s="54" t="n">
        <f aca="false">EDATE('Start Here'!$B$8,220)</f>
        <v>53022</v>
      </c>
      <c r="C225" s="42" t="n">
        <f aca="false">SUM(F225:O225)</f>
        <v>0</v>
      </c>
      <c r="D225" s="42" t="n">
        <f aca="false">ROUND(SUM($Z225:$AI225)-SUM(P224:Y224),2)</f>
        <v>0</v>
      </c>
      <c r="E225" s="55" t="n">
        <f aca="false">SUM(P225:Y225)</f>
        <v>0</v>
      </c>
      <c r="F225" s="42" t="n">
        <f aca="false">AJ225+MIN(Z225-AJ225,MAX(0,'Start Here'!$B$10-SUM($AJ225:$AS225)-SUMPRODUCT(($Z$3:$AI$3&lt;Z$3)*($Z225:$AI225-$AJ225:$AS225))))</f>
        <v>0</v>
      </c>
      <c r="G225" s="42" t="n">
        <f aca="false">AK225+MIN(AA225-AK225,MAX(0,'Start Here'!$B$10-SUM($AJ225:$AS225)-SUMPRODUCT(($Z$3:$AI$3&lt;AA$3)*($Z225:$AI225-$AJ225:$AS225))))</f>
        <v>0</v>
      </c>
      <c r="H225" s="42" t="n">
        <f aca="false">AL225+MIN(AB225-AL225,MAX(0,'Start Here'!$B$10-SUM($AJ225:$AS225)-SUMPRODUCT(($Z$3:$AI$3&lt;AB$3)*($Z225:$AI225-$AJ225:$AS225))))</f>
        <v>0</v>
      </c>
      <c r="I225" s="42" t="n">
        <f aca="false">AM225+MIN(AC225-AM225,MAX(0,'Start Here'!$B$10-SUM($AJ225:$AS225)-SUMPRODUCT(($Z$3:$AI$3&lt;AC$3)*($Z225:$AI225-$AJ225:$AS225))))</f>
        <v>0</v>
      </c>
      <c r="J225" s="42" t="n">
        <f aca="false">AN225+MIN(AD225-AN225,MAX(0,'Start Here'!$B$10-SUM($AJ225:$AS225)-SUMPRODUCT(($Z$3:$AI$3&lt;AD$3)*($Z225:$AI225-$AJ225:$AS225))))</f>
        <v>0</v>
      </c>
      <c r="K225" s="42" t="n">
        <f aca="false">AO225+MIN(AE225-AO225,MAX(0,'Start Here'!$B$10-SUM($AJ225:$AS225)-SUMPRODUCT(($Z$3:$AI$3&lt;AE$3)*($Z225:$AI225-$AJ225:$AS225))))</f>
        <v>0</v>
      </c>
      <c r="L225" s="42" t="n">
        <f aca="false">AP225+MIN(AF225-AP225,MAX(0,'Start Here'!$B$10-SUM($AJ225:$AS225)-SUMPRODUCT(($Z$3:$AI$3&lt;AF$3)*($Z225:$AI225-$AJ225:$AS225))))</f>
        <v>0</v>
      </c>
      <c r="M225" s="42" t="n">
        <f aca="false">AQ225+MIN(AG225-AQ225,MAX(0,'Start Here'!$B$10-SUM($AJ225:$AS225)-SUMPRODUCT(($Z$3:$AI$3&lt;AG$3)*($Z225:$AI225-$AJ225:$AS225))))</f>
        <v>0</v>
      </c>
      <c r="N225" s="42" t="n">
        <f aca="false">AR225+MIN(AH225-AR225,MAX(0,'Start Here'!$B$10-SUM($AJ225:$AS225)-SUMPRODUCT(($Z$3:$AI$3&lt;AH$3)*($Z225:$AI225-$AJ225:$AS225))))</f>
        <v>0</v>
      </c>
      <c r="O225" s="42" t="n">
        <f aca="false">AS225+MIN(AI225-AS225,MAX(0,'Start Here'!$B$10-SUM($AJ225:$AS225)-SUMPRODUCT(($Z$3:$AI$3&lt;AI$3)*($Z225:$AI225-$AJ225:$AS225))))</f>
        <v>0</v>
      </c>
      <c r="P225" s="42" t="n">
        <f aca="false">ROUND(Z225-F225,2)</f>
        <v>0</v>
      </c>
      <c r="Q225" s="42" t="n">
        <f aca="false">ROUND(AA225-G225,2)</f>
        <v>0</v>
      </c>
      <c r="R225" s="42" t="n">
        <f aca="false">ROUND(AB225-H225,2)</f>
        <v>0</v>
      </c>
      <c r="S225" s="42" t="n">
        <f aca="false">ROUND(AC225-I225,2)</f>
        <v>0</v>
      </c>
      <c r="T225" s="42" t="n">
        <f aca="false">ROUND(AD225-J225,2)</f>
        <v>0</v>
      </c>
      <c r="U225" s="42" t="n">
        <f aca="false">ROUND(AE225-K225,2)</f>
        <v>0</v>
      </c>
      <c r="V225" s="42" t="n">
        <f aca="false">ROUND(AF225-L225,2)</f>
        <v>0</v>
      </c>
      <c r="W225" s="42" t="n">
        <f aca="false">ROUND(AG225-M225,2)</f>
        <v>0</v>
      </c>
      <c r="X225" s="42" t="n">
        <f aca="false">ROUND(AH225-N225,2)</f>
        <v>0</v>
      </c>
      <c r="Y225" s="42" t="n">
        <f aca="false">ROUND(AI225-O225,2)</f>
        <v>0</v>
      </c>
      <c r="Z225" s="56" t="n">
        <f aca="false">ROUND(P224*(1+N(Debts!$D$5)/12),2)</f>
        <v>0</v>
      </c>
      <c r="AA225" s="56" t="n">
        <f aca="false">ROUND(Q224*(1+N(Debts!$D$6)/12),2)</f>
        <v>0</v>
      </c>
      <c r="AB225" s="56" t="n">
        <f aca="false">ROUND(R224*(1+N(Debts!$D$7)/12),2)</f>
        <v>0</v>
      </c>
      <c r="AC225" s="56" t="n">
        <f aca="false">ROUND(S224*(1+N(Debts!$D$8)/12),2)</f>
        <v>0</v>
      </c>
      <c r="AD225" s="56" t="n">
        <f aca="false">ROUND(T224*(1+N(Debts!$D$9)/12),2)</f>
        <v>0</v>
      </c>
      <c r="AE225" s="56" t="n">
        <f aca="false">ROUND(U224*(1+N(Debts!$D$10)/12),2)</f>
        <v>0</v>
      </c>
      <c r="AF225" s="56" t="n">
        <f aca="false">ROUND(V224*(1+N(Debts!$D$11)/12),2)</f>
        <v>0</v>
      </c>
      <c r="AG225" s="56" t="n">
        <f aca="false">ROUND(W224*(1+N(Debts!$D$12)/12),2)</f>
        <v>0</v>
      </c>
      <c r="AH225" s="56" t="n">
        <f aca="false">ROUND(X224*(1+N(Debts!$D$13)/12),2)</f>
        <v>0</v>
      </c>
      <c r="AI225" s="56" t="n">
        <f aca="false">ROUND(Y224*(1+N(Debts!$D$14)/12),2)</f>
        <v>0</v>
      </c>
      <c r="AJ225" s="56" t="n">
        <f aca="false">MIN(Z225,MAX(0,N(Debts!$E$5)))</f>
        <v>0</v>
      </c>
      <c r="AK225" s="56" t="n">
        <f aca="false">MIN(AA225,MAX(0,N(Debts!$E$6)))</f>
        <v>0</v>
      </c>
      <c r="AL225" s="56" t="n">
        <f aca="false">MIN(AB225,MAX(0,N(Debts!$E$7)))</f>
        <v>0</v>
      </c>
      <c r="AM225" s="56" t="n">
        <f aca="false">MIN(AC225,MAX(0,N(Debts!$E$8)))</f>
        <v>0</v>
      </c>
      <c r="AN225" s="56" t="n">
        <f aca="false">MIN(AD225,MAX(0,N(Debts!$E$9)))</f>
        <v>0</v>
      </c>
      <c r="AO225" s="56" t="n">
        <f aca="false">MIN(AE225,MAX(0,N(Debts!$E$10)))</f>
        <v>0</v>
      </c>
      <c r="AP225" s="56" t="n">
        <f aca="false">MIN(AF225,MAX(0,N(Debts!$E$11)))</f>
        <v>0</v>
      </c>
      <c r="AQ225" s="56" t="n">
        <f aca="false">MIN(AG225,MAX(0,N(Debts!$E$12)))</f>
        <v>0</v>
      </c>
      <c r="AR225" s="56" t="n">
        <f aca="false">MIN(AH225,MAX(0,N(Debts!$E$13)))</f>
        <v>0</v>
      </c>
      <c r="AS225" s="56" t="n">
        <f aca="false">MIN(AI225,MAX(0,N(Debts!$E$14)))</f>
        <v>0</v>
      </c>
    </row>
    <row r="226" customFormat="false" ht="15" hidden="false" customHeight="false" outlineLevel="0" collapsed="false">
      <c r="A226" s="53" t="n">
        <v>222</v>
      </c>
      <c r="B226" s="54" t="n">
        <f aca="false">EDATE('Start Here'!$B$8,221)</f>
        <v>53053</v>
      </c>
      <c r="C226" s="42" t="n">
        <f aca="false">SUM(F226:O226)</f>
        <v>0</v>
      </c>
      <c r="D226" s="42" t="n">
        <f aca="false">ROUND(SUM($Z226:$AI226)-SUM(P225:Y225),2)</f>
        <v>0</v>
      </c>
      <c r="E226" s="55" t="n">
        <f aca="false">SUM(P226:Y226)</f>
        <v>0</v>
      </c>
      <c r="F226" s="42" t="n">
        <f aca="false">AJ226+MIN(Z226-AJ226,MAX(0,'Start Here'!$B$10-SUM($AJ226:$AS226)-SUMPRODUCT(($Z$3:$AI$3&lt;Z$3)*($Z226:$AI226-$AJ226:$AS226))))</f>
        <v>0</v>
      </c>
      <c r="G226" s="42" t="n">
        <f aca="false">AK226+MIN(AA226-AK226,MAX(0,'Start Here'!$B$10-SUM($AJ226:$AS226)-SUMPRODUCT(($Z$3:$AI$3&lt;AA$3)*($Z226:$AI226-$AJ226:$AS226))))</f>
        <v>0</v>
      </c>
      <c r="H226" s="42" t="n">
        <f aca="false">AL226+MIN(AB226-AL226,MAX(0,'Start Here'!$B$10-SUM($AJ226:$AS226)-SUMPRODUCT(($Z$3:$AI$3&lt;AB$3)*($Z226:$AI226-$AJ226:$AS226))))</f>
        <v>0</v>
      </c>
      <c r="I226" s="42" t="n">
        <f aca="false">AM226+MIN(AC226-AM226,MAX(0,'Start Here'!$B$10-SUM($AJ226:$AS226)-SUMPRODUCT(($Z$3:$AI$3&lt;AC$3)*($Z226:$AI226-$AJ226:$AS226))))</f>
        <v>0</v>
      </c>
      <c r="J226" s="42" t="n">
        <f aca="false">AN226+MIN(AD226-AN226,MAX(0,'Start Here'!$B$10-SUM($AJ226:$AS226)-SUMPRODUCT(($Z$3:$AI$3&lt;AD$3)*($Z226:$AI226-$AJ226:$AS226))))</f>
        <v>0</v>
      </c>
      <c r="K226" s="42" t="n">
        <f aca="false">AO226+MIN(AE226-AO226,MAX(0,'Start Here'!$B$10-SUM($AJ226:$AS226)-SUMPRODUCT(($Z$3:$AI$3&lt;AE$3)*($Z226:$AI226-$AJ226:$AS226))))</f>
        <v>0</v>
      </c>
      <c r="L226" s="42" t="n">
        <f aca="false">AP226+MIN(AF226-AP226,MAX(0,'Start Here'!$B$10-SUM($AJ226:$AS226)-SUMPRODUCT(($Z$3:$AI$3&lt;AF$3)*($Z226:$AI226-$AJ226:$AS226))))</f>
        <v>0</v>
      </c>
      <c r="M226" s="42" t="n">
        <f aca="false">AQ226+MIN(AG226-AQ226,MAX(0,'Start Here'!$B$10-SUM($AJ226:$AS226)-SUMPRODUCT(($Z$3:$AI$3&lt;AG$3)*($Z226:$AI226-$AJ226:$AS226))))</f>
        <v>0</v>
      </c>
      <c r="N226" s="42" t="n">
        <f aca="false">AR226+MIN(AH226-AR226,MAX(0,'Start Here'!$B$10-SUM($AJ226:$AS226)-SUMPRODUCT(($Z$3:$AI$3&lt;AH$3)*($Z226:$AI226-$AJ226:$AS226))))</f>
        <v>0</v>
      </c>
      <c r="O226" s="42" t="n">
        <f aca="false">AS226+MIN(AI226-AS226,MAX(0,'Start Here'!$B$10-SUM($AJ226:$AS226)-SUMPRODUCT(($Z$3:$AI$3&lt;AI$3)*($Z226:$AI226-$AJ226:$AS226))))</f>
        <v>0</v>
      </c>
      <c r="P226" s="42" t="n">
        <f aca="false">ROUND(Z226-F226,2)</f>
        <v>0</v>
      </c>
      <c r="Q226" s="42" t="n">
        <f aca="false">ROUND(AA226-G226,2)</f>
        <v>0</v>
      </c>
      <c r="R226" s="42" t="n">
        <f aca="false">ROUND(AB226-H226,2)</f>
        <v>0</v>
      </c>
      <c r="S226" s="42" t="n">
        <f aca="false">ROUND(AC226-I226,2)</f>
        <v>0</v>
      </c>
      <c r="T226" s="42" t="n">
        <f aca="false">ROUND(AD226-J226,2)</f>
        <v>0</v>
      </c>
      <c r="U226" s="42" t="n">
        <f aca="false">ROUND(AE226-K226,2)</f>
        <v>0</v>
      </c>
      <c r="V226" s="42" t="n">
        <f aca="false">ROUND(AF226-L226,2)</f>
        <v>0</v>
      </c>
      <c r="W226" s="42" t="n">
        <f aca="false">ROUND(AG226-M226,2)</f>
        <v>0</v>
      </c>
      <c r="X226" s="42" t="n">
        <f aca="false">ROUND(AH226-N226,2)</f>
        <v>0</v>
      </c>
      <c r="Y226" s="42" t="n">
        <f aca="false">ROUND(AI226-O226,2)</f>
        <v>0</v>
      </c>
      <c r="Z226" s="56" t="n">
        <f aca="false">ROUND(P225*(1+N(Debts!$D$5)/12),2)</f>
        <v>0</v>
      </c>
      <c r="AA226" s="56" t="n">
        <f aca="false">ROUND(Q225*(1+N(Debts!$D$6)/12),2)</f>
        <v>0</v>
      </c>
      <c r="AB226" s="56" t="n">
        <f aca="false">ROUND(R225*(1+N(Debts!$D$7)/12),2)</f>
        <v>0</v>
      </c>
      <c r="AC226" s="56" t="n">
        <f aca="false">ROUND(S225*(1+N(Debts!$D$8)/12),2)</f>
        <v>0</v>
      </c>
      <c r="AD226" s="56" t="n">
        <f aca="false">ROUND(T225*(1+N(Debts!$D$9)/12),2)</f>
        <v>0</v>
      </c>
      <c r="AE226" s="56" t="n">
        <f aca="false">ROUND(U225*(1+N(Debts!$D$10)/12),2)</f>
        <v>0</v>
      </c>
      <c r="AF226" s="56" t="n">
        <f aca="false">ROUND(V225*(1+N(Debts!$D$11)/12),2)</f>
        <v>0</v>
      </c>
      <c r="AG226" s="56" t="n">
        <f aca="false">ROUND(W225*(1+N(Debts!$D$12)/12),2)</f>
        <v>0</v>
      </c>
      <c r="AH226" s="56" t="n">
        <f aca="false">ROUND(X225*(1+N(Debts!$D$13)/12),2)</f>
        <v>0</v>
      </c>
      <c r="AI226" s="56" t="n">
        <f aca="false">ROUND(Y225*(1+N(Debts!$D$14)/12),2)</f>
        <v>0</v>
      </c>
      <c r="AJ226" s="56" t="n">
        <f aca="false">MIN(Z226,MAX(0,N(Debts!$E$5)))</f>
        <v>0</v>
      </c>
      <c r="AK226" s="56" t="n">
        <f aca="false">MIN(AA226,MAX(0,N(Debts!$E$6)))</f>
        <v>0</v>
      </c>
      <c r="AL226" s="56" t="n">
        <f aca="false">MIN(AB226,MAX(0,N(Debts!$E$7)))</f>
        <v>0</v>
      </c>
      <c r="AM226" s="56" t="n">
        <f aca="false">MIN(AC226,MAX(0,N(Debts!$E$8)))</f>
        <v>0</v>
      </c>
      <c r="AN226" s="56" t="n">
        <f aca="false">MIN(AD226,MAX(0,N(Debts!$E$9)))</f>
        <v>0</v>
      </c>
      <c r="AO226" s="56" t="n">
        <f aca="false">MIN(AE226,MAX(0,N(Debts!$E$10)))</f>
        <v>0</v>
      </c>
      <c r="AP226" s="56" t="n">
        <f aca="false">MIN(AF226,MAX(0,N(Debts!$E$11)))</f>
        <v>0</v>
      </c>
      <c r="AQ226" s="56" t="n">
        <f aca="false">MIN(AG226,MAX(0,N(Debts!$E$12)))</f>
        <v>0</v>
      </c>
      <c r="AR226" s="56" t="n">
        <f aca="false">MIN(AH226,MAX(0,N(Debts!$E$13)))</f>
        <v>0</v>
      </c>
      <c r="AS226" s="56" t="n">
        <f aca="false">MIN(AI226,MAX(0,N(Debts!$E$14)))</f>
        <v>0</v>
      </c>
    </row>
    <row r="227" customFormat="false" ht="15" hidden="false" customHeight="false" outlineLevel="0" collapsed="false">
      <c r="A227" s="53" t="n">
        <v>223</v>
      </c>
      <c r="B227" s="54" t="n">
        <f aca="false">EDATE('Start Here'!$B$8,222)</f>
        <v>53083</v>
      </c>
      <c r="C227" s="42" t="n">
        <f aca="false">SUM(F227:O227)</f>
        <v>0</v>
      </c>
      <c r="D227" s="42" t="n">
        <f aca="false">ROUND(SUM($Z227:$AI227)-SUM(P226:Y226),2)</f>
        <v>0</v>
      </c>
      <c r="E227" s="55" t="n">
        <f aca="false">SUM(P227:Y227)</f>
        <v>0</v>
      </c>
      <c r="F227" s="42" t="n">
        <f aca="false">AJ227+MIN(Z227-AJ227,MAX(0,'Start Here'!$B$10-SUM($AJ227:$AS227)-SUMPRODUCT(($Z$3:$AI$3&lt;Z$3)*($Z227:$AI227-$AJ227:$AS227))))</f>
        <v>0</v>
      </c>
      <c r="G227" s="42" t="n">
        <f aca="false">AK227+MIN(AA227-AK227,MAX(0,'Start Here'!$B$10-SUM($AJ227:$AS227)-SUMPRODUCT(($Z$3:$AI$3&lt;AA$3)*($Z227:$AI227-$AJ227:$AS227))))</f>
        <v>0</v>
      </c>
      <c r="H227" s="42" t="n">
        <f aca="false">AL227+MIN(AB227-AL227,MAX(0,'Start Here'!$B$10-SUM($AJ227:$AS227)-SUMPRODUCT(($Z$3:$AI$3&lt;AB$3)*($Z227:$AI227-$AJ227:$AS227))))</f>
        <v>0</v>
      </c>
      <c r="I227" s="42" t="n">
        <f aca="false">AM227+MIN(AC227-AM227,MAX(0,'Start Here'!$B$10-SUM($AJ227:$AS227)-SUMPRODUCT(($Z$3:$AI$3&lt;AC$3)*($Z227:$AI227-$AJ227:$AS227))))</f>
        <v>0</v>
      </c>
      <c r="J227" s="42" t="n">
        <f aca="false">AN227+MIN(AD227-AN227,MAX(0,'Start Here'!$B$10-SUM($AJ227:$AS227)-SUMPRODUCT(($Z$3:$AI$3&lt;AD$3)*($Z227:$AI227-$AJ227:$AS227))))</f>
        <v>0</v>
      </c>
      <c r="K227" s="42" t="n">
        <f aca="false">AO227+MIN(AE227-AO227,MAX(0,'Start Here'!$B$10-SUM($AJ227:$AS227)-SUMPRODUCT(($Z$3:$AI$3&lt;AE$3)*($Z227:$AI227-$AJ227:$AS227))))</f>
        <v>0</v>
      </c>
      <c r="L227" s="42" t="n">
        <f aca="false">AP227+MIN(AF227-AP227,MAX(0,'Start Here'!$B$10-SUM($AJ227:$AS227)-SUMPRODUCT(($Z$3:$AI$3&lt;AF$3)*($Z227:$AI227-$AJ227:$AS227))))</f>
        <v>0</v>
      </c>
      <c r="M227" s="42" t="n">
        <f aca="false">AQ227+MIN(AG227-AQ227,MAX(0,'Start Here'!$B$10-SUM($AJ227:$AS227)-SUMPRODUCT(($Z$3:$AI$3&lt;AG$3)*($Z227:$AI227-$AJ227:$AS227))))</f>
        <v>0</v>
      </c>
      <c r="N227" s="42" t="n">
        <f aca="false">AR227+MIN(AH227-AR227,MAX(0,'Start Here'!$B$10-SUM($AJ227:$AS227)-SUMPRODUCT(($Z$3:$AI$3&lt;AH$3)*($Z227:$AI227-$AJ227:$AS227))))</f>
        <v>0</v>
      </c>
      <c r="O227" s="42" t="n">
        <f aca="false">AS227+MIN(AI227-AS227,MAX(0,'Start Here'!$B$10-SUM($AJ227:$AS227)-SUMPRODUCT(($Z$3:$AI$3&lt;AI$3)*($Z227:$AI227-$AJ227:$AS227))))</f>
        <v>0</v>
      </c>
      <c r="P227" s="42" t="n">
        <f aca="false">ROUND(Z227-F227,2)</f>
        <v>0</v>
      </c>
      <c r="Q227" s="42" t="n">
        <f aca="false">ROUND(AA227-G227,2)</f>
        <v>0</v>
      </c>
      <c r="R227" s="42" t="n">
        <f aca="false">ROUND(AB227-H227,2)</f>
        <v>0</v>
      </c>
      <c r="S227" s="42" t="n">
        <f aca="false">ROUND(AC227-I227,2)</f>
        <v>0</v>
      </c>
      <c r="T227" s="42" t="n">
        <f aca="false">ROUND(AD227-J227,2)</f>
        <v>0</v>
      </c>
      <c r="U227" s="42" t="n">
        <f aca="false">ROUND(AE227-K227,2)</f>
        <v>0</v>
      </c>
      <c r="V227" s="42" t="n">
        <f aca="false">ROUND(AF227-L227,2)</f>
        <v>0</v>
      </c>
      <c r="W227" s="42" t="n">
        <f aca="false">ROUND(AG227-M227,2)</f>
        <v>0</v>
      </c>
      <c r="X227" s="42" t="n">
        <f aca="false">ROUND(AH227-N227,2)</f>
        <v>0</v>
      </c>
      <c r="Y227" s="42" t="n">
        <f aca="false">ROUND(AI227-O227,2)</f>
        <v>0</v>
      </c>
      <c r="Z227" s="56" t="n">
        <f aca="false">ROUND(P226*(1+N(Debts!$D$5)/12),2)</f>
        <v>0</v>
      </c>
      <c r="AA227" s="56" t="n">
        <f aca="false">ROUND(Q226*(1+N(Debts!$D$6)/12),2)</f>
        <v>0</v>
      </c>
      <c r="AB227" s="56" t="n">
        <f aca="false">ROUND(R226*(1+N(Debts!$D$7)/12),2)</f>
        <v>0</v>
      </c>
      <c r="AC227" s="56" t="n">
        <f aca="false">ROUND(S226*(1+N(Debts!$D$8)/12),2)</f>
        <v>0</v>
      </c>
      <c r="AD227" s="56" t="n">
        <f aca="false">ROUND(T226*(1+N(Debts!$D$9)/12),2)</f>
        <v>0</v>
      </c>
      <c r="AE227" s="56" t="n">
        <f aca="false">ROUND(U226*(1+N(Debts!$D$10)/12),2)</f>
        <v>0</v>
      </c>
      <c r="AF227" s="56" t="n">
        <f aca="false">ROUND(V226*(1+N(Debts!$D$11)/12),2)</f>
        <v>0</v>
      </c>
      <c r="AG227" s="56" t="n">
        <f aca="false">ROUND(W226*(1+N(Debts!$D$12)/12),2)</f>
        <v>0</v>
      </c>
      <c r="AH227" s="56" t="n">
        <f aca="false">ROUND(X226*(1+N(Debts!$D$13)/12),2)</f>
        <v>0</v>
      </c>
      <c r="AI227" s="56" t="n">
        <f aca="false">ROUND(Y226*(1+N(Debts!$D$14)/12),2)</f>
        <v>0</v>
      </c>
      <c r="AJ227" s="56" t="n">
        <f aca="false">MIN(Z227,MAX(0,N(Debts!$E$5)))</f>
        <v>0</v>
      </c>
      <c r="AK227" s="56" t="n">
        <f aca="false">MIN(AA227,MAX(0,N(Debts!$E$6)))</f>
        <v>0</v>
      </c>
      <c r="AL227" s="56" t="n">
        <f aca="false">MIN(AB227,MAX(0,N(Debts!$E$7)))</f>
        <v>0</v>
      </c>
      <c r="AM227" s="56" t="n">
        <f aca="false">MIN(AC227,MAX(0,N(Debts!$E$8)))</f>
        <v>0</v>
      </c>
      <c r="AN227" s="56" t="n">
        <f aca="false">MIN(AD227,MAX(0,N(Debts!$E$9)))</f>
        <v>0</v>
      </c>
      <c r="AO227" s="56" t="n">
        <f aca="false">MIN(AE227,MAX(0,N(Debts!$E$10)))</f>
        <v>0</v>
      </c>
      <c r="AP227" s="56" t="n">
        <f aca="false">MIN(AF227,MAX(0,N(Debts!$E$11)))</f>
        <v>0</v>
      </c>
      <c r="AQ227" s="56" t="n">
        <f aca="false">MIN(AG227,MAX(0,N(Debts!$E$12)))</f>
        <v>0</v>
      </c>
      <c r="AR227" s="56" t="n">
        <f aca="false">MIN(AH227,MAX(0,N(Debts!$E$13)))</f>
        <v>0</v>
      </c>
      <c r="AS227" s="56" t="n">
        <f aca="false">MIN(AI227,MAX(0,N(Debts!$E$14)))</f>
        <v>0</v>
      </c>
    </row>
    <row r="228" customFormat="false" ht="15" hidden="false" customHeight="false" outlineLevel="0" collapsed="false">
      <c r="A228" s="53" t="n">
        <v>224</v>
      </c>
      <c r="B228" s="54" t="n">
        <f aca="false">EDATE('Start Here'!$B$8,223)</f>
        <v>53114</v>
      </c>
      <c r="C228" s="42" t="n">
        <f aca="false">SUM(F228:O228)</f>
        <v>0</v>
      </c>
      <c r="D228" s="42" t="n">
        <f aca="false">ROUND(SUM($Z228:$AI228)-SUM(P227:Y227),2)</f>
        <v>0</v>
      </c>
      <c r="E228" s="55" t="n">
        <f aca="false">SUM(P228:Y228)</f>
        <v>0</v>
      </c>
      <c r="F228" s="42" t="n">
        <f aca="false">AJ228+MIN(Z228-AJ228,MAX(0,'Start Here'!$B$10-SUM($AJ228:$AS228)-SUMPRODUCT(($Z$3:$AI$3&lt;Z$3)*($Z228:$AI228-$AJ228:$AS228))))</f>
        <v>0</v>
      </c>
      <c r="G228" s="42" t="n">
        <f aca="false">AK228+MIN(AA228-AK228,MAX(0,'Start Here'!$B$10-SUM($AJ228:$AS228)-SUMPRODUCT(($Z$3:$AI$3&lt;AA$3)*($Z228:$AI228-$AJ228:$AS228))))</f>
        <v>0</v>
      </c>
      <c r="H228" s="42" t="n">
        <f aca="false">AL228+MIN(AB228-AL228,MAX(0,'Start Here'!$B$10-SUM($AJ228:$AS228)-SUMPRODUCT(($Z$3:$AI$3&lt;AB$3)*($Z228:$AI228-$AJ228:$AS228))))</f>
        <v>0</v>
      </c>
      <c r="I228" s="42" t="n">
        <f aca="false">AM228+MIN(AC228-AM228,MAX(0,'Start Here'!$B$10-SUM($AJ228:$AS228)-SUMPRODUCT(($Z$3:$AI$3&lt;AC$3)*($Z228:$AI228-$AJ228:$AS228))))</f>
        <v>0</v>
      </c>
      <c r="J228" s="42" t="n">
        <f aca="false">AN228+MIN(AD228-AN228,MAX(0,'Start Here'!$B$10-SUM($AJ228:$AS228)-SUMPRODUCT(($Z$3:$AI$3&lt;AD$3)*($Z228:$AI228-$AJ228:$AS228))))</f>
        <v>0</v>
      </c>
      <c r="K228" s="42" t="n">
        <f aca="false">AO228+MIN(AE228-AO228,MAX(0,'Start Here'!$B$10-SUM($AJ228:$AS228)-SUMPRODUCT(($Z$3:$AI$3&lt;AE$3)*($Z228:$AI228-$AJ228:$AS228))))</f>
        <v>0</v>
      </c>
      <c r="L228" s="42" t="n">
        <f aca="false">AP228+MIN(AF228-AP228,MAX(0,'Start Here'!$B$10-SUM($AJ228:$AS228)-SUMPRODUCT(($Z$3:$AI$3&lt;AF$3)*($Z228:$AI228-$AJ228:$AS228))))</f>
        <v>0</v>
      </c>
      <c r="M228" s="42" t="n">
        <f aca="false">AQ228+MIN(AG228-AQ228,MAX(0,'Start Here'!$B$10-SUM($AJ228:$AS228)-SUMPRODUCT(($Z$3:$AI$3&lt;AG$3)*($Z228:$AI228-$AJ228:$AS228))))</f>
        <v>0</v>
      </c>
      <c r="N228" s="42" t="n">
        <f aca="false">AR228+MIN(AH228-AR228,MAX(0,'Start Here'!$B$10-SUM($AJ228:$AS228)-SUMPRODUCT(($Z$3:$AI$3&lt;AH$3)*($Z228:$AI228-$AJ228:$AS228))))</f>
        <v>0</v>
      </c>
      <c r="O228" s="42" t="n">
        <f aca="false">AS228+MIN(AI228-AS228,MAX(0,'Start Here'!$B$10-SUM($AJ228:$AS228)-SUMPRODUCT(($Z$3:$AI$3&lt;AI$3)*($Z228:$AI228-$AJ228:$AS228))))</f>
        <v>0</v>
      </c>
      <c r="P228" s="42" t="n">
        <f aca="false">ROUND(Z228-F228,2)</f>
        <v>0</v>
      </c>
      <c r="Q228" s="42" t="n">
        <f aca="false">ROUND(AA228-G228,2)</f>
        <v>0</v>
      </c>
      <c r="R228" s="42" t="n">
        <f aca="false">ROUND(AB228-H228,2)</f>
        <v>0</v>
      </c>
      <c r="S228" s="42" t="n">
        <f aca="false">ROUND(AC228-I228,2)</f>
        <v>0</v>
      </c>
      <c r="T228" s="42" t="n">
        <f aca="false">ROUND(AD228-J228,2)</f>
        <v>0</v>
      </c>
      <c r="U228" s="42" t="n">
        <f aca="false">ROUND(AE228-K228,2)</f>
        <v>0</v>
      </c>
      <c r="V228" s="42" t="n">
        <f aca="false">ROUND(AF228-L228,2)</f>
        <v>0</v>
      </c>
      <c r="W228" s="42" t="n">
        <f aca="false">ROUND(AG228-M228,2)</f>
        <v>0</v>
      </c>
      <c r="X228" s="42" t="n">
        <f aca="false">ROUND(AH228-N228,2)</f>
        <v>0</v>
      </c>
      <c r="Y228" s="42" t="n">
        <f aca="false">ROUND(AI228-O228,2)</f>
        <v>0</v>
      </c>
      <c r="Z228" s="56" t="n">
        <f aca="false">ROUND(P227*(1+N(Debts!$D$5)/12),2)</f>
        <v>0</v>
      </c>
      <c r="AA228" s="56" t="n">
        <f aca="false">ROUND(Q227*(1+N(Debts!$D$6)/12),2)</f>
        <v>0</v>
      </c>
      <c r="AB228" s="56" t="n">
        <f aca="false">ROUND(R227*(1+N(Debts!$D$7)/12),2)</f>
        <v>0</v>
      </c>
      <c r="AC228" s="56" t="n">
        <f aca="false">ROUND(S227*(1+N(Debts!$D$8)/12),2)</f>
        <v>0</v>
      </c>
      <c r="AD228" s="56" t="n">
        <f aca="false">ROUND(T227*(1+N(Debts!$D$9)/12),2)</f>
        <v>0</v>
      </c>
      <c r="AE228" s="56" t="n">
        <f aca="false">ROUND(U227*(1+N(Debts!$D$10)/12),2)</f>
        <v>0</v>
      </c>
      <c r="AF228" s="56" t="n">
        <f aca="false">ROUND(V227*(1+N(Debts!$D$11)/12),2)</f>
        <v>0</v>
      </c>
      <c r="AG228" s="56" t="n">
        <f aca="false">ROUND(W227*(1+N(Debts!$D$12)/12),2)</f>
        <v>0</v>
      </c>
      <c r="AH228" s="56" t="n">
        <f aca="false">ROUND(X227*(1+N(Debts!$D$13)/12),2)</f>
        <v>0</v>
      </c>
      <c r="AI228" s="56" t="n">
        <f aca="false">ROUND(Y227*(1+N(Debts!$D$14)/12),2)</f>
        <v>0</v>
      </c>
      <c r="AJ228" s="56" t="n">
        <f aca="false">MIN(Z228,MAX(0,N(Debts!$E$5)))</f>
        <v>0</v>
      </c>
      <c r="AK228" s="56" t="n">
        <f aca="false">MIN(AA228,MAX(0,N(Debts!$E$6)))</f>
        <v>0</v>
      </c>
      <c r="AL228" s="56" t="n">
        <f aca="false">MIN(AB228,MAX(0,N(Debts!$E$7)))</f>
        <v>0</v>
      </c>
      <c r="AM228" s="56" t="n">
        <f aca="false">MIN(AC228,MAX(0,N(Debts!$E$8)))</f>
        <v>0</v>
      </c>
      <c r="AN228" s="56" t="n">
        <f aca="false">MIN(AD228,MAX(0,N(Debts!$E$9)))</f>
        <v>0</v>
      </c>
      <c r="AO228" s="56" t="n">
        <f aca="false">MIN(AE228,MAX(0,N(Debts!$E$10)))</f>
        <v>0</v>
      </c>
      <c r="AP228" s="56" t="n">
        <f aca="false">MIN(AF228,MAX(0,N(Debts!$E$11)))</f>
        <v>0</v>
      </c>
      <c r="AQ228" s="56" t="n">
        <f aca="false">MIN(AG228,MAX(0,N(Debts!$E$12)))</f>
        <v>0</v>
      </c>
      <c r="AR228" s="56" t="n">
        <f aca="false">MIN(AH228,MAX(0,N(Debts!$E$13)))</f>
        <v>0</v>
      </c>
      <c r="AS228" s="56" t="n">
        <f aca="false">MIN(AI228,MAX(0,N(Debts!$E$14)))</f>
        <v>0</v>
      </c>
    </row>
    <row r="229" customFormat="false" ht="15" hidden="false" customHeight="false" outlineLevel="0" collapsed="false">
      <c r="A229" s="53" t="n">
        <v>225</v>
      </c>
      <c r="B229" s="54" t="n">
        <f aca="false">EDATE('Start Here'!$B$8,224)</f>
        <v>53144</v>
      </c>
      <c r="C229" s="42" t="n">
        <f aca="false">SUM(F229:O229)</f>
        <v>0</v>
      </c>
      <c r="D229" s="42" t="n">
        <f aca="false">ROUND(SUM($Z229:$AI229)-SUM(P228:Y228),2)</f>
        <v>0</v>
      </c>
      <c r="E229" s="55" t="n">
        <f aca="false">SUM(P229:Y229)</f>
        <v>0</v>
      </c>
      <c r="F229" s="42" t="n">
        <f aca="false">AJ229+MIN(Z229-AJ229,MAX(0,'Start Here'!$B$10-SUM($AJ229:$AS229)-SUMPRODUCT(($Z$3:$AI$3&lt;Z$3)*($Z229:$AI229-$AJ229:$AS229))))</f>
        <v>0</v>
      </c>
      <c r="G229" s="42" t="n">
        <f aca="false">AK229+MIN(AA229-AK229,MAX(0,'Start Here'!$B$10-SUM($AJ229:$AS229)-SUMPRODUCT(($Z$3:$AI$3&lt;AA$3)*($Z229:$AI229-$AJ229:$AS229))))</f>
        <v>0</v>
      </c>
      <c r="H229" s="42" t="n">
        <f aca="false">AL229+MIN(AB229-AL229,MAX(0,'Start Here'!$B$10-SUM($AJ229:$AS229)-SUMPRODUCT(($Z$3:$AI$3&lt;AB$3)*($Z229:$AI229-$AJ229:$AS229))))</f>
        <v>0</v>
      </c>
      <c r="I229" s="42" t="n">
        <f aca="false">AM229+MIN(AC229-AM229,MAX(0,'Start Here'!$B$10-SUM($AJ229:$AS229)-SUMPRODUCT(($Z$3:$AI$3&lt;AC$3)*($Z229:$AI229-$AJ229:$AS229))))</f>
        <v>0</v>
      </c>
      <c r="J229" s="42" t="n">
        <f aca="false">AN229+MIN(AD229-AN229,MAX(0,'Start Here'!$B$10-SUM($AJ229:$AS229)-SUMPRODUCT(($Z$3:$AI$3&lt;AD$3)*($Z229:$AI229-$AJ229:$AS229))))</f>
        <v>0</v>
      </c>
      <c r="K229" s="42" t="n">
        <f aca="false">AO229+MIN(AE229-AO229,MAX(0,'Start Here'!$B$10-SUM($AJ229:$AS229)-SUMPRODUCT(($Z$3:$AI$3&lt;AE$3)*($Z229:$AI229-$AJ229:$AS229))))</f>
        <v>0</v>
      </c>
      <c r="L229" s="42" t="n">
        <f aca="false">AP229+MIN(AF229-AP229,MAX(0,'Start Here'!$B$10-SUM($AJ229:$AS229)-SUMPRODUCT(($Z$3:$AI$3&lt;AF$3)*($Z229:$AI229-$AJ229:$AS229))))</f>
        <v>0</v>
      </c>
      <c r="M229" s="42" t="n">
        <f aca="false">AQ229+MIN(AG229-AQ229,MAX(0,'Start Here'!$B$10-SUM($AJ229:$AS229)-SUMPRODUCT(($Z$3:$AI$3&lt;AG$3)*($Z229:$AI229-$AJ229:$AS229))))</f>
        <v>0</v>
      </c>
      <c r="N229" s="42" t="n">
        <f aca="false">AR229+MIN(AH229-AR229,MAX(0,'Start Here'!$B$10-SUM($AJ229:$AS229)-SUMPRODUCT(($Z$3:$AI$3&lt;AH$3)*($Z229:$AI229-$AJ229:$AS229))))</f>
        <v>0</v>
      </c>
      <c r="O229" s="42" t="n">
        <f aca="false">AS229+MIN(AI229-AS229,MAX(0,'Start Here'!$B$10-SUM($AJ229:$AS229)-SUMPRODUCT(($Z$3:$AI$3&lt;AI$3)*($Z229:$AI229-$AJ229:$AS229))))</f>
        <v>0</v>
      </c>
      <c r="P229" s="42" t="n">
        <f aca="false">ROUND(Z229-F229,2)</f>
        <v>0</v>
      </c>
      <c r="Q229" s="42" t="n">
        <f aca="false">ROUND(AA229-G229,2)</f>
        <v>0</v>
      </c>
      <c r="R229" s="42" t="n">
        <f aca="false">ROUND(AB229-H229,2)</f>
        <v>0</v>
      </c>
      <c r="S229" s="42" t="n">
        <f aca="false">ROUND(AC229-I229,2)</f>
        <v>0</v>
      </c>
      <c r="T229" s="42" t="n">
        <f aca="false">ROUND(AD229-J229,2)</f>
        <v>0</v>
      </c>
      <c r="U229" s="42" t="n">
        <f aca="false">ROUND(AE229-K229,2)</f>
        <v>0</v>
      </c>
      <c r="V229" s="42" t="n">
        <f aca="false">ROUND(AF229-L229,2)</f>
        <v>0</v>
      </c>
      <c r="W229" s="42" t="n">
        <f aca="false">ROUND(AG229-M229,2)</f>
        <v>0</v>
      </c>
      <c r="X229" s="42" t="n">
        <f aca="false">ROUND(AH229-N229,2)</f>
        <v>0</v>
      </c>
      <c r="Y229" s="42" t="n">
        <f aca="false">ROUND(AI229-O229,2)</f>
        <v>0</v>
      </c>
      <c r="Z229" s="56" t="n">
        <f aca="false">ROUND(P228*(1+N(Debts!$D$5)/12),2)</f>
        <v>0</v>
      </c>
      <c r="AA229" s="56" t="n">
        <f aca="false">ROUND(Q228*(1+N(Debts!$D$6)/12),2)</f>
        <v>0</v>
      </c>
      <c r="AB229" s="56" t="n">
        <f aca="false">ROUND(R228*(1+N(Debts!$D$7)/12),2)</f>
        <v>0</v>
      </c>
      <c r="AC229" s="56" t="n">
        <f aca="false">ROUND(S228*(1+N(Debts!$D$8)/12),2)</f>
        <v>0</v>
      </c>
      <c r="AD229" s="56" t="n">
        <f aca="false">ROUND(T228*(1+N(Debts!$D$9)/12),2)</f>
        <v>0</v>
      </c>
      <c r="AE229" s="56" t="n">
        <f aca="false">ROUND(U228*(1+N(Debts!$D$10)/12),2)</f>
        <v>0</v>
      </c>
      <c r="AF229" s="56" t="n">
        <f aca="false">ROUND(V228*(1+N(Debts!$D$11)/12),2)</f>
        <v>0</v>
      </c>
      <c r="AG229" s="56" t="n">
        <f aca="false">ROUND(W228*(1+N(Debts!$D$12)/12),2)</f>
        <v>0</v>
      </c>
      <c r="AH229" s="56" t="n">
        <f aca="false">ROUND(X228*(1+N(Debts!$D$13)/12),2)</f>
        <v>0</v>
      </c>
      <c r="AI229" s="56" t="n">
        <f aca="false">ROUND(Y228*(1+N(Debts!$D$14)/12),2)</f>
        <v>0</v>
      </c>
      <c r="AJ229" s="56" t="n">
        <f aca="false">MIN(Z229,MAX(0,N(Debts!$E$5)))</f>
        <v>0</v>
      </c>
      <c r="AK229" s="56" t="n">
        <f aca="false">MIN(AA229,MAX(0,N(Debts!$E$6)))</f>
        <v>0</v>
      </c>
      <c r="AL229" s="56" t="n">
        <f aca="false">MIN(AB229,MAX(0,N(Debts!$E$7)))</f>
        <v>0</v>
      </c>
      <c r="AM229" s="56" t="n">
        <f aca="false">MIN(AC229,MAX(0,N(Debts!$E$8)))</f>
        <v>0</v>
      </c>
      <c r="AN229" s="56" t="n">
        <f aca="false">MIN(AD229,MAX(0,N(Debts!$E$9)))</f>
        <v>0</v>
      </c>
      <c r="AO229" s="56" t="n">
        <f aca="false">MIN(AE229,MAX(0,N(Debts!$E$10)))</f>
        <v>0</v>
      </c>
      <c r="AP229" s="56" t="n">
        <f aca="false">MIN(AF229,MAX(0,N(Debts!$E$11)))</f>
        <v>0</v>
      </c>
      <c r="AQ229" s="56" t="n">
        <f aca="false">MIN(AG229,MAX(0,N(Debts!$E$12)))</f>
        <v>0</v>
      </c>
      <c r="AR229" s="56" t="n">
        <f aca="false">MIN(AH229,MAX(0,N(Debts!$E$13)))</f>
        <v>0</v>
      </c>
      <c r="AS229" s="56" t="n">
        <f aca="false">MIN(AI229,MAX(0,N(Debts!$E$14)))</f>
        <v>0</v>
      </c>
    </row>
    <row r="230" customFormat="false" ht="15" hidden="false" customHeight="false" outlineLevel="0" collapsed="false">
      <c r="A230" s="53" t="n">
        <v>226</v>
      </c>
      <c r="B230" s="54" t="n">
        <f aca="false">EDATE('Start Here'!$B$8,225)</f>
        <v>53175</v>
      </c>
      <c r="C230" s="42" t="n">
        <f aca="false">SUM(F230:O230)</f>
        <v>0</v>
      </c>
      <c r="D230" s="42" t="n">
        <f aca="false">ROUND(SUM($Z230:$AI230)-SUM(P229:Y229),2)</f>
        <v>0</v>
      </c>
      <c r="E230" s="55" t="n">
        <f aca="false">SUM(P230:Y230)</f>
        <v>0</v>
      </c>
      <c r="F230" s="42" t="n">
        <f aca="false">AJ230+MIN(Z230-AJ230,MAX(0,'Start Here'!$B$10-SUM($AJ230:$AS230)-SUMPRODUCT(($Z$3:$AI$3&lt;Z$3)*($Z230:$AI230-$AJ230:$AS230))))</f>
        <v>0</v>
      </c>
      <c r="G230" s="42" t="n">
        <f aca="false">AK230+MIN(AA230-AK230,MAX(0,'Start Here'!$B$10-SUM($AJ230:$AS230)-SUMPRODUCT(($Z$3:$AI$3&lt;AA$3)*($Z230:$AI230-$AJ230:$AS230))))</f>
        <v>0</v>
      </c>
      <c r="H230" s="42" t="n">
        <f aca="false">AL230+MIN(AB230-AL230,MAX(0,'Start Here'!$B$10-SUM($AJ230:$AS230)-SUMPRODUCT(($Z$3:$AI$3&lt;AB$3)*($Z230:$AI230-$AJ230:$AS230))))</f>
        <v>0</v>
      </c>
      <c r="I230" s="42" t="n">
        <f aca="false">AM230+MIN(AC230-AM230,MAX(0,'Start Here'!$B$10-SUM($AJ230:$AS230)-SUMPRODUCT(($Z$3:$AI$3&lt;AC$3)*($Z230:$AI230-$AJ230:$AS230))))</f>
        <v>0</v>
      </c>
      <c r="J230" s="42" t="n">
        <f aca="false">AN230+MIN(AD230-AN230,MAX(0,'Start Here'!$B$10-SUM($AJ230:$AS230)-SUMPRODUCT(($Z$3:$AI$3&lt;AD$3)*($Z230:$AI230-$AJ230:$AS230))))</f>
        <v>0</v>
      </c>
      <c r="K230" s="42" t="n">
        <f aca="false">AO230+MIN(AE230-AO230,MAX(0,'Start Here'!$B$10-SUM($AJ230:$AS230)-SUMPRODUCT(($Z$3:$AI$3&lt;AE$3)*($Z230:$AI230-$AJ230:$AS230))))</f>
        <v>0</v>
      </c>
      <c r="L230" s="42" t="n">
        <f aca="false">AP230+MIN(AF230-AP230,MAX(0,'Start Here'!$B$10-SUM($AJ230:$AS230)-SUMPRODUCT(($Z$3:$AI$3&lt;AF$3)*($Z230:$AI230-$AJ230:$AS230))))</f>
        <v>0</v>
      </c>
      <c r="M230" s="42" t="n">
        <f aca="false">AQ230+MIN(AG230-AQ230,MAX(0,'Start Here'!$B$10-SUM($AJ230:$AS230)-SUMPRODUCT(($Z$3:$AI$3&lt;AG$3)*($Z230:$AI230-$AJ230:$AS230))))</f>
        <v>0</v>
      </c>
      <c r="N230" s="42" t="n">
        <f aca="false">AR230+MIN(AH230-AR230,MAX(0,'Start Here'!$B$10-SUM($AJ230:$AS230)-SUMPRODUCT(($Z$3:$AI$3&lt;AH$3)*($Z230:$AI230-$AJ230:$AS230))))</f>
        <v>0</v>
      </c>
      <c r="O230" s="42" t="n">
        <f aca="false">AS230+MIN(AI230-AS230,MAX(0,'Start Here'!$B$10-SUM($AJ230:$AS230)-SUMPRODUCT(($Z$3:$AI$3&lt;AI$3)*($Z230:$AI230-$AJ230:$AS230))))</f>
        <v>0</v>
      </c>
      <c r="P230" s="42" t="n">
        <f aca="false">ROUND(Z230-F230,2)</f>
        <v>0</v>
      </c>
      <c r="Q230" s="42" t="n">
        <f aca="false">ROUND(AA230-G230,2)</f>
        <v>0</v>
      </c>
      <c r="R230" s="42" t="n">
        <f aca="false">ROUND(AB230-H230,2)</f>
        <v>0</v>
      </c>
      <c r="S230" s="42" t="n">
        <f aca="false">ROUND(AC230-I230,2)</f>
        <v>0</v>
      </c>
      <c r="T230" s="42" t="n">
        <f aca="false">ROUND(AD230-J230,2)</f>
        <v>0</v>
      </c>
      <c r="U230" s="42" t="n">
        <f aca="false">ROUND(AE230-K230,2)</f>
        <v>0</v>
      </c>
      <c r="V230" s="42" t="n">
        <f aca="false">ROUND(AF230-L230,2)</f>
        <v>0</v>
      </c>
      <c r="W230" s="42" t="n">
        <f aca="false">ROUND(AG230-M230,2)</f>
        <v>0</v>
      </c>
      <c r="X230" s="42" t="n">
        <f aca="false">ROUND(AH230-N230,2)</f>
        <v>0</v>
      </c>
      <c r="Y230" s="42" t="n">
        <f aca="false">ROUND(AI230-O230,2)</f>
        <v>0</v>
      </c>
      <c r="Z230" s="56" t="n">
        <f aca="false">ROUND(P229*(1+N(Debts!$D$5)/12),2)</f>
        <v>0</v>
      </c>
      <c r="AA230" s="56" t="n">
        <f aca="false">ROUND(Q229*(1+N(Debts!$D$6)/12),2)</f>
        <v>0</v>
      </c>
      <c r="AB230" s="56" t="n">
        <f aca="false">ROUND(R229*(1+N(Debts!$D$7)/12),2)</f>
        <v>0</v>
      </c>
      <c r="AC230" s="56" t="n">
        <f aca="false">ROUND(S229*(1+N(Debts!$D$8)/12),2)</f>
        <v>0</v>
      </c>
      <c r="AD230" s="56" t="n">
        <f aca="false">ROUND(T229*(1+N(Debts!$D$9)/12),2)</f>
        <v>0</v>
      </c>
      <c r="AE230" s="56" t="n">
        <f aca="false">ROUND(U229*(1+N(Debts!$D$10)/12),2)</f>
        <v>0</v>
      </c>
      <c r="AF230" s="56" t="n">
        <f aca="false">ROUND(V229*(1+N(Debts!$D$11)/12),2)</f>
        <v>0</v>
      </c>
      <c r="AG230" s="56" t="n">
        <f aca="false">ROUND(W229*(1+N(Debts!$D$12)/12),2)</f>
        <v>0</v>
      </c>
      <c r="AH230" s="56" t="n">
        <f aca="false">ROUND(X229*(1+N(Debts!$D$13)/12),2)</f>
        <v>0</v>
      </c>
      <c r="AI230" s="56" t="n">
        <f aca="false">ROUND(Y229*(1+N(Debts!$D$14)/12),2)</f>
        <v>0</v>
      </c>
      <c r="AJ230" s="56" t="n">
        <f aca="false">MIN(Z230,MAX(0,N(Debts!$E$5)))</f>
        <v>0</v>
      </c>
      <c r="AK230" s="56" t="n">
        <f aca="false">MIN(AA230,MAX(0,N(Debts!$E$6)))</f>
        <v>0</v>
      </c>
      <c r="AL230" s="56" t="n">
        <f aca="false">MIN(AB230,MAX(0,N(Debts!$E$7)))</f>
        <v>0</v>
      </c>
      <c r="AM230" s="56" t="n">
        <f aca="false">MIN(AC230,MAX(0,N(Debts!$E$8)))</f>
        <v>0</v>
      </c>
      <c r="AN230" s="56" t="n">
        <f aca="false">MIN(AD230,MAX(0,N(Debts!$E$9)))</f>
        <v>0</v>
      </c>
      <c r="AO230" s="56" t="n">
        <f aca="false">MIN(AE230,MAX(0,N(Debts!$E$10)))</f>
        <v>0</v>
      </c>
      <c r="AP230" s="56" t="n">
        <f aca="false">MIN(AF230,MAX(0,N(Debts!$E$11)))</f>
        <v>0</v>
      </c>
      <c r="AQ230" s="56" t="n">
        <f aca="false">MIN(AG230,MAX(0,N(Debts!$E$12)))</f>
        <v>0</v>
      </c>
      <c r="AR230" s="56" t="n">
        <f aca="false">MIN(AH230,MAX(0,N(Debts!$E$13)))</f>
        <v>0</v>
      </c>
      <c r="AS230" s="56" t="n">
        <f aca="false">MIN(AI230,MAX(0,N(Debts!$E$14)))</f>
        <v>0</v>
      </c>
    </row>
    <row r="231" customFormat="false" ht="15" hidden="false" customHeight="false" outlineLevel="0" collapsed="false">
      <c r="A231" s="53" t="n">
        <v>227</v>
      </c>
      <c r="B231" s="54" t="n">
        <f aca="false">EDATE('Start Here'!$B$8,226)</f>
        <v>53206</v>
      </c>
      <c r="C231" s="42" t="n">
        <f aca="false">SUM(F231:O231)</f>
        <v>0</v>
      </c>
      <c r="D231" s="42" t="n">
        <f aca="false">ROUND(SUM($Z231:$AI231)-SUM(P230:Y230),2)</f>
        <v>0</v>
      </c>
      <c r="E231" s="55" t="n">
        <f aca="false">SUM(P231:Y231)</f>
        <v>0</v>
      </c>
      <c r="F231" s="42" t="n">
        <f aca="false">AJ231+MIN(Z231-AJ231,MAX(0,'Start Here'!$B$10-SUM($AJ231:$AS231)-SUMPRODUCT(($Z$3:$AI$3&lt;Z$3)*($Z231:$AI231-$AJ231:$AS231))))</f>
        <v>0</v>
      </c>
      <c r="G231" s="42" t="n">
        <f aca="false">AK231+MIN(AA231-AK231,MAX(0,'Start Here'!$B$10-SUM($AJ231:$AS231)-SUMPRODUCT(($Z$3:$AI$3&lt;AA$3)*($Z231:$AI231-$AJ231:$AS231))))</f>
        <v>0</v>
      </c>
      <c r="H231" s="42" t="n">
        <f aca="false">AL231+MIN(AB231-AL231,MAX(0,'Start Here'!$B$10-SUM($AJ231:$AS231)-SUMPRODUCT(($Z$3:$AI$3&lt;AB$3)*($Z231:$AI231-$AJ231:$AS231))))</f>
        <v>0</v>
      </c>
      <c r="I231" s="42" t="n">
        <f aca="false">AM231+MIN(AC231-AM231,MAX(0,'Start Here'!$B$10-SUM($AJ231:$AS231)-SUMPRODUCT(($Z$3:$AI$3&lt;AC$3)*($Z231:$AI231-$AJ231:$AS231))))</f>
        <v>0</v>
      </c>
      <c r="J231" s="42" t="n">
        <f aca="false">AN231+MIN(AD231-AN231,MAX(0,'Start Here'!$B$10-SUM($AJ231:$AS231)-SUMPRODUCT(($Z$3:$AI$3&lt;AD$3)*($Z231:$AI231-$AJ231:$AS231))))</f>
        <v>0</v>
      </c>
      <c r="K231" s="42" t="n">
        <f aca="false">AO231+MIN(AE231-AO231,MAX(0,'Start Here'!$B$10-SUM($AJ231:$AS231)-SUMPRODUCT(($Z$3:$AI$3&lt;AE$3)*($Z231:$AI231-$AJ231:$AS231))))</f>
        <v>0</v>
      </c>
      <c r="L231" s="42" t="n">
        <f aca="false">AP231+MIN(AF231-AP231,MAX(0,'Start Here'!$B$10-SUM($AJ231:$AS231)-SUMPRODUCT(($Z$3:$AI$3&lt;AF$3)*($Z231:$AI231-$AJ231:$AS231))))</f>
        <v>0</v>
      </c>
      <c r="M231" s="42" t="n">
        <f aca="false">AQ231+MIN(AG231-AQ231,MAX(0,'Start Here'!$B$10-SUM($AJ231:$AS231)-SUMPRODUCT(($Z$3:$AI$3&lt;AG$3)*($Z231:$AI231-$AJ231:$AS231))))</f>
        <v>0</v>
      </c>
      <c r="N231" s="42" t="n">
        <f aca="false">AR231+MIN(AH231-AR231,MAX(0,'Start Here'!$B$10-SUM($AJ231:$AS231)-SUMPRODUCT(($Z$3:$AI$3&lt;AH$3)*($Z231:$AI231-$AJ231:$AS231))))</f>
        <v>0</v>
      </c>
      <c r="O231" s="42" t="n">
        <f aca="false">AS231+MIN(AI231-AS231,MAX(0,'Start Here'!$B$10-SUM($AJ231:$AS231)-SUMPRODUCT(($Z$3:$AI$3&lt;AI$3)*($Z231:$AI231-$AJ231:$AS231))))</f>
        <v>0</v>
      </c>
      <c r="P231" s="42" t="n">
        <f aca="false">ROUND(Z231-F231,2)</f>
        <v>0</v>
      </c>
      <c r="Q231" s="42" t="n">
        <f aca="false">ROUND(AA231-G231,2)</f>
        <v>0</v>
      </c>
      <c r="R231" s="42" t="n">
        <f aca="false">ROUND(AB231-H231,2)</f>
        <v>0</v>
      </c>
      <c r="S231" s="42" t="n">
        <f aca="false">ROUND(AC231-I231,2)</f>
        <v>0</v>
      </c>
      <c r="T231" s="42" t="n">
        <f aca="false">ROUND(AD231-J231,2)</f>
        <v>0</v>
      </c>
      <c r="U231" s="42" t="n">
        <f aca="false">ROUND(AE231-K231,2)</f>
        <v>0</v>
      </c>
      <c r="V231" s="42" t="n">
        <f aca="false">ROUND(AF231-L231,2)</f>
        <v>0</v>
      </c>
      <c r="W231" s="42" t="n">
        <f aca="false">ROUND(AG231-M231,2)</f>
        <v>0</v>
      </c>
      <c r="X231" s="42" t="n">
        <f aca="false">ROUND(AH231-N231,2)</f>
        <v>0</v>
      </c>
      <c r="Y231" s="42" t="n">
        <f aca="false">ROUND(AI231-O231,2)</f>
        <v>0</v>
      </c>
      <c r="Z231" s="56" t="n">
        <f aca="false">ROUND(P230*(1+N(Debts!$D$5)/12),2)</f>
        <v>0</v>
      </c>
      <c r="AA231" s="56" t="n">
        <f aca="false">ROUND(Q230*(1+N(Debts!$D$6)/12),2)</f>
        <v>0</v>
      </c>
      <c r="AB231" s="56" t="n">
        <f aca="false">ROUND(R230*(1+N(Debts!$D$7)/12),2)</f>
        <v>0</v>
      </c>
      <c r="AC231" s="56" t="n">
        <f aca="false">ROUND(S230*(1+N(Debts!$D$8)/12),2)</f>
        <v>0</v>
      </c>
      <c r="AD231" s="56" t="n">
        <f aca="false">ROUND(T230*(1+N(Debts!$D$9)/12),2)</f>
        <v>0</v>
      </c>
      <c r="AE231" s="56" t="n">
        <f aca="false">ROUND(U230*(1+N(Debts!$D$10)/12),2)</f>
        <v>0</v>
      </c>
      <c r="AF231" s="56" t="n">
        <f aca="false">ROUND(V230*(1+N(Debts!$D$11)/12),2)</f>
        <v>0</v>
      </c>
      <c r="AG231" s="56" t="n">
        <f aca="false">ROUND(W230*(1+N(Debts!$D$12)/12),2)</f>
        <v>0</v>
      </c>
      <c r="AH231" s="56" t="n">
        <f aca="false">ROUND(X230*(1+N(Debts!$D$13)/12),2)</f>
        <v>0</v>
      </c>
      <c r="AI231" s="56" t="n">
        <f aca="false">ROUND(Y230*(1+N(Debts!$D$14)/12),2)</f>
        <v>0</v>
      </c>
      <c r="AJ231" s="56" t="n">
        <f aca="false">MIN(Z231,MAX(0,N(Debts!$E$5)))</f>
        <v>0</v>
      </c>
      <c r="AK231" s="56" t="n">
        <f aca="false">MIN(AA231,MAX(0,N(Debts!$E$6)))</f>
        <v>0</v>
      </c>
      <c r="AL231" s="56" t="n">
        <f aca="false">MIN(AB231,MAX(0,N(Debts!$E$7)))</f>
        <v>0</v>
      </c>
      <c r="AM231" s="56" t="n">
        <f aca="false">MIN(AC231,MAX(0,N(Debts!$E$8)))</f>
        <v>0</v>
      </c>
      <c r="AN231" s="56" t="n">
        <f aca="false">MIN(AD231,MAX(0,N(Debts!$E$9)))</f>
        <v>0</v>
      </c>
      <c r="AO231" s="56" t="n">
        <f aca="false">MIN(AE231,MAX(0,N(Debts!$E$10)))</f>
        <v>0</v>
      </c>
      <c r="AP231" s="56" t="n">
        <f aca="false">MIN(AF231,MAX(0,N(Debts!$E$11)))</f>
        <v>0</v>
      </c>
      <c r="AQ231" s="56" t="n">
        <f aca="false">MIN(AG231,MAX(0,N(Debts!$E$12)))</f>
        <v>0</v>
      </c>
      <c r="AR231" s="56" t="n">
        <f aca="false">MIN(AH231,MAX(0,N(Debts!$E$13)))</f>
        <v>0</v>
      </c>
      <c r="AS231" s="56" t="n">
        <f aca="false">MIN(AI231,MAX(0,N(Debts!$E$14)))</f>
        <v>0</v>
      </c>
    </row>
    <row r="232" customFormat="false" ht="15" hidden="false" customHeight="false" outlineLevel="0" collapsed="false">
      <c r="A232" s="53" t="n">
        <v>228</v>
      </c>
      <c r="B232" s="54" t="n">
        <f aca="false">EDATE('Start Here'!$B$8,227)</f>
        <v>53236</v>
      </c>
      <c r="C232" s="42" t="n">
        <f aca="false">SUM(F232:O232)</f>
        <v>0</v>
      </c>
      <c r="D232" s="42" t="n">
        <f aca="false">ROUND(SUM($Z232:$AI232)-SUM(P231:Y231),2)</f>
        <v>0</v>
      </c>
      <c r="E232" s="55" t="n">
        <f aca="false">SUM(P232:Y232)</f>
        <v>0</v>
      </c>
      <c r="F232" s="42" t="n">
        <f aca="false">AJ232+MIN(Z232-AJ232,MAX(0,'Start Here'!$B$10-SUM($AJ232:$AS232)-SUMPRODUCT(($Z$3:$AI$3&lt;Z$3)*($Z232:$AI232-$AJ232:$AS232))))</f>
        <v>0</v>
      </c>
      <c r="G232" s="42" t="n">
        <f aca="false">AK232+MIN(AA232-AK232,MAX(0,'Start Here'!$B$10-SUM($AJ232:$AS232)-SUMPRODUCT(($Z$3:$AI$3&lt;AA$3)*($Z232:$AI232-$AJ232:$AS232))))</f>
        <v>0</v>
      </c>
      <c r="H232" s="42" t="n">
        <f aca="false">AL232+MIN(AB232-AL232,MAX(0,'Start Here'!$B$10-SUM($AJ232:$AS232)-SUMPRODUCT(($Z$3:$AI$3&lt;AB$3)*($Z232:$AI232-$AJ232:$AS232))))</f>
        <v>0</v>
      </c>
      <c r="I232" s="42" t="n">
        <f aca="false">AM232+MIN(AC232-AM232,MAX(0,'Start Here'!$B$10-SUM($AJ232:$AS232)-SUMPRODUCT(($Z$3:$AI$3&lt;AC$3)*($Z232:$AI232-$AJ232:$AS232))))</f>
        <v>0</v>
      </c>
      <c r="J232" s="42" t="n">
        <f aca="false">AN232+MIN(AD232-AN232,MAX(0,'Start Here'!$B$10-SUM($AJ232:$AS232)-SUMPRODUCT(($Z$3:$AI$3&lt;AD$3)*($Z232:$AI232-$AJ232:$AS232))))</f>
        <v>0</v>
      </c>
      <c r="K232" s="42" t="n">
        <f aca="false">AO232+MIN(AE232-AO232,MAX(0,'Start Here'!$B$10-SUM($AJ232:$AS232)-SUMPRODUCT(($Z$3:$AI$3&lt;AE$3)*($Z232:$AI232-$AJ232:$AS232))))</f>
        <v>0</v>
      </c>
      <c r="L232" s="42" t="n">
        <f aca="false">AP232+MIN(AF232-AP232,MAX(0,'Start Here'!$B$10-SUM($AJ232:$AS232)-SUMPRODUCT(($Z$3:$AI$3&lt;AF$3)*($Z232:$AI232-$AJ232:$AS232))))</f>
        <v>0</v>
      </c>
      <c r="M232" s="42" t="n">
        <f aca="false">AQ232+MIN(AG232-AQ232,MAX(0,'Start Here'!$B$10-SUM($AJ232:$AS232)-SUMPRODUCT(($Z$3:$AI$3&lt;AG$3)*($Z232:$AI232-$AJ232:$AS232))))</f>
        <v>0</v>
      </c>
      <c r="N232" s="42" t="n">
        <f aca="false">AR232+MIN(AH232-AR232,MAX(0,'Start Here'!$B$10-SUM($AJ232:$AS232)-SUMPRODUCT(($Z$3:$AI$3&lt;AH$3)*($Z232:$AI232-$AJ232:$AS232))))</f>
        <v>0</v>
      </c>
      <c r="O232" s="42" t="n">
        <f aca="false">AS232+MIN(AI232-AS232,MAX(0,'Start Here'!$B$10-SUM($AJ232:$AS232)-SUMPRODUCT(($Z$3:$AI$3&lt;AI$3)*($Z232:$AI232-$AJ232:$AS232))))</f>
        <v>0</v>
      </c>
      <c r="P232" s="42" t="n">
        <f aca="false">ROUND(Z232-F232,2)</f>
        <v>0</v>
      </c>
      <c r="Q232" s="42" t="n">
        <f aca="false">ROUND(AA232-G232,2)</f>
        <v>0</v>
      </c>
      <c r="R232" s="42" t="n">
        <f aca="false">ROUND(AB232-H232,2)</f>
        <v>0</v>
      </c>
      <c r="S232" s="42" t="n">
        <f aca="false">ROUND(AC232-I232,2)</f>
        <v>0</v>
      </c>
      <c r="T232" s="42" t="n">
        <f aca="false">ROUND(AD232-J232,2)</f>
        <v>0</v>
      </c>
      <c r="U232" s="42" t="n">
        <f aca="false">ROUND(AE232-K232,2)</f>
        <v>0</v>
      </c>
      <c r="V232" s="42" t="n">
        <f aca="false">ROUND(AF232-L232,2)</f>
        <v>0</v>
      </c>
      <c r="W232" s="42" t="n">
        <f aca="false">ROUND(AG232-M232,2)</f>
        <v>0</v>
      </c>
      <c r="X232" s="42" t="n">
        <f aca="false">ROUND(AH232-N232,2)</f>
        <v>0</v>
      </c>
      <c r="Y232" s="42" t="n">
        <f aca="false">ROUND(AI232-O232,2)</f>
        <v>0</v>
      </c>
      <c r="Z232" s="56" t="n">
        <f aca="false">ROUND(P231*(1+N(Debts!$D$5)/12),2)</f>
        <v>0</v>
      </c>
      <c r="AA232" s="56" t="n">
        <f aca="false">ROUND(Q231*(1+N(Debts!$D$6)/12),2)</f>
        <v>0</v>
      </c>
      <c r="AB232" s="56" t="n">
        <f aca="false">ROUND(R231*(1+N(Debts!$D$7)/12),2)</f>
        <v>0</v>
      </c>
      <c r="AC232" s="56" t="n">
        <f aca="false">ROUND(S231*(1+N(Debts!$D$8)/12),2)</f>
        <v>0</v>
      </c>
      <c r="AD232" s="56" t="n">
        <f aca="false">ROUND(T231*(1+N(Debts!$D$9)/12),2)</f>
        <v>0</v>
      </c>
      <c r="AE232" s="56" t="n">
        <f aca="false">ROUND(U231*(1+N(Debts!$D$10)/12),2)</f>
        <v>0</v>
      </c>
      <c r="AF232" s="56" t="n">
        <f aca="false">ROUND(V231*(1+N(Debts!$D$11)/12),2)</f>
        <v>0</v>
      </c>
      <c r="AG232" s="56" t="n">
        <f aca="false">ROUND(W231*(1+N(Debts!$D$12)/12),2)</f>
        <v>0</v>
      </c>
      <c r="AH232" s="56" t="n">
        <f aca="false">ROUND(X231*(1+N(Debts!$D$13)/12),2)</f>
        <v>0</v>
      </c>
      <c r="AI232" s="56" t="n">
        <f aca="false">ROUND(Y231*(1+N(Debts!$D$14)/12),2)</f>
        <v>0</v>
      </c>
      <c r="AJ232" s="56" t="n">
        <f aca="false">MIN(Z232,MAX(0,N(Debts!$E$5)))</f>
        <v>0</v>
      </c>
      <c r="AK232" s="56" t="n">
        <f aca="false">MIN(AA232,MAX(0,N(Debts!$E$6)))</f>
        <v>0</v>
      </c>
      <c r="AL232" s="56" t="n">
        <f aca="false">MIN(AB232,MAX(0,N(Debts!$E$7)))</f>
        <v>0</v>
      </c>
      <c r="AM232" s="56" t="n">
        <f aca="false">MIN(AC232,MAX(0,N(Debts!$E$8)))</f>
        <v>0</v>
      </c>
      <c r="AN232" s="56" t="n">
        <f aca="false">MIN(AD232,MAX(0,N(Debts!$E$9)))</f>
        <v>0</v>
      </c>
      <c r="AO232" s="56" t="n">
        <f aca="false">MIN(AE232,MAX(0,N(Debts!$E$10)))</f>
        <v>0</v>
      </c>
      <c r="AP232" s="56" t="n">
        <f aca="false">MIN(AF232,MAX(0,N(Debts!$E$11)))</f>
        <v>0</v>
      </c>
      <c r="AQ232" s="56" t="n">
        <f aca="false">MIN(AG232,MAX(0,N(Debts!$E$12)))</f>
        <v>0</v>
      </c>
      <c r="AR232" s="56" t="n">
        <f aca="false">MIN(AH232,MAX(0,N(Debts!$E$13)))</f>
        <v>0</v>
      </c>
      <c r="AS232" s="56" t="n">
        <f aca="false">MIN(AI232,MAX(0,N(Debts!$E$14)))</f>
        <v>0</v>
      </c>
    </row>
    <row r="233" customFormat="false" ht="15" hidden="false" customHeight="false" outlineLevel="0" collapsed="false">
      <c r="A233" s="53" t="n">
        <v>229</v>
      </c>
      <c r="B233" s="54" t="n">
        <f aca="false">EDATE('Start Here'!$B$8,228)</f>
        <v>53267</v>
      </c>
      <c r="C233" s="42" t="n">
        <f aca="false">SUM(F233:O233)</f>
        <v>0</v>
      </c>
      <c r="D233" s="42" t="n">
        <f aca="false">ROUND(SUM($Z233:$AI233)-SUM(P232:Y232),2)</f>
        <v>0</v>
      </c>
      <c r="E233" s="55" t="n">
        <f aca="false">SUM(P233:Y233)</f>
        <v>0</v>
      </c>
      <c r="F233" s="42" t="n">
        <f aca="false">AJ233+MIN(Z233-AJ233,MAX(0,'Start Here'!$B$10-SUM($AJ233:$AS233)-SUMPRODUCT(($Z$3:$AI$3&lt;Z$3)*($Z233:$AI233-$AJ233:$AS233))))</f>
        <v>0</v>
      </c>
      <c r="G233" s="42" t="n">
        <f aca="false">AK233+MIN(AA233-AK233,MAX(0,'Start Here'!$B$10-SUM($AJ233:$AS233)-SUMPRODUCT(($Z$3:$AI$3&lt;AA$3)*($Z233:$AI233-$AJ233:$AS233))))</f>
        <v>0</v>
      </c>
      <c r="H233" s="42" t="n">
        <f aca="false">AL233+MIN(AB233-AL233,MAX(0,'Start Here'!$B$10-SUM($AJ233:$AS233)-SUMPRODUCT(($Z$3:$AI$3&lt;AB$3)*($Z233:$AI233-$AJ233:$AS233))))</f>
        <v>0</v>
      </c>
      <c r="I233" s="42" t="n">
        <f aca="false">AM233+MIN(AC233-AM233,MAX(0,'Start Here'!$B$10-SUM($AJ233:$AS233)-SUMPRODUCT(($Z$3:$AI$3&lt;AC$3)*($Z233:$AI233-$AJ233:$AS233))))</f>
        <v>0</v>
      </c>
      <c r="J233" s="42" t="n">
        <f aca="false">AN233+MIN(AD233-AN233,MAX(0,'Start Here'!$B$10-SUM($AJ233:$AS233)-SUMPRODUCT(($Z$3:$AI$3&lt;AD$3)*($Z233:$AI233-$AJ233:$AS233))))</f>
        <v>0</v>
      </c>
      <c r="K233" s="42" t="n">
        <f aca="false">AO233+MIN(AE233-AO233,MAX(0,'Start Here'!$B$10-SUM($AJ233:$AS233)-SUMPRODUCT(($Z$3:$AI$3&lt;AE$3)*($Z233:$AI233-$AJ233:$AS233))))</f>
        <v>0</v>
      </c>
      <c r="L233" s="42" t="n">
        <f aca="false">AP233+MIN(AF233-AP233,MAX(0,'Start Here'!$B$10-SUM($AJ233:$AS233)-SUMPRODUCT(($Z$3:$AI$3&lt;AF$3)*($Z233:$AI233-$AJ233:$AS233))))</f>
        <v>0</v>
      </c>
      <c r="M233" s="42" t="n">
        <f aca="false">AQ233+MIN(AG233-AQ233,MAX(0,'Start Here'!$B$10-SUM($AJ233:$AS233)-SUMPRODUCT(($Z$3:$AI$3&lt;AG$3)*($Z233:$AI233-$AJ233:$AS233))))</f>
        <v>0</v>
      </c>
      <c r="N233" s="42" t="n">
        <f aca="false">AR233+MIN(AH233-AR233,MAX(0,'Start Here'!$B$10-SUM($AJ233:$AS233)-SUMPRODUCT(($Z$3:$AI$3&lt;AH$3)*($Z233:$AI233-$AJ233:$AS233))))</f>
        <v>0</v>
      </c>
      <c r="O233" s="42" t="n">
        <f aca="false">AS233+MIN(AI233-AS233,MAX(0,'Start Here'!$B$10-SUM($AJ233:$AS233)-SUMPRODUCT(($Z$3:$AI$3&lt;AI$3)*($Z233:$AI233-$AJ233:$AS233))))</f>
        <v>0</v>
      </c>
      <c r="P233" s="42" t="n">
        <f aca="false">ROUND(Z233-F233,2)</f>
        <v>0</v>
      </c>
      <c r="Q233" s="42" t="n">
        <f aca="false">ROUND(AA233-G233,2)</f>
        <v>0</v>
      </c>
      <c r="R233" s="42" t="n">
        <f aca="false">ROUND(AB233-H233,2)</f>
        <v>0</v>
      </c>
      <c r="S233" s="42" t="n">
        <f aca="false">ROUND(AC233-I233,2)</f>
        <v>0</v>
      </c>
      <c r="T233" s="42" t="n">
        <f aca="false">ROUND(AD233-J233,2)</f>
        <v>0</v>
      </c>
      <c r="U233" s="42" t="n">
        <f aca="false">ROUND(AE233-K233,2)</f>
        <v>0</v>
      </c>
      <c r="V233" s="42" t="n">
        <f aca="false">ROUND(AF233-L233,2)</f>
        <v>0</v>
      </c>
      <c r="W233" s="42" t="n">
        <f aca="false">ROUND(AG233-M233,2)</f>
        <v>0</v>
      </c>
      <c r="X233" s="42" t="n">
        <f aca="false">ROUND(AH233-N233,2)</f>
        <v>0</v>
      </c>
      <c r="Y233" s="42" t="n">
        <f aca="false">ROUND(AI233-O233,2)</f>
        <v>0</v>
      </c>
      <c r="Z233" s="56" t="n">
        <f aca="false">ROUND(P232*(1+N(Debts!$D$5)/12),2)</f>
        <v>0</v>
      </c>
      <c r="AA233" s="56" t="n">
        <f aca="false">ROUND(Q232*(1+N(Debts!$D$6)/12),2)</f>
        <v>0</v>
      </c>
      <c r="AB233" s="56" t="n">
        <f aca="false">ROUND(R232*(1+N(Debts!$D$7)/12),2)</f>
        <v>0</v>
      </c>
      <c r="AC233" s="56" t="n">
        <f aca="false">ROUND(S232*(1+N(Debts!$D$8)/12),2)</f>
        <v>0</v>
      </c>
      <c r="AD233" s="56" t="n">
        <f aca="false">ROUND(T232*(1+N(Debts!$D$9)/12),2)</f>
        <v>0</v>
      </c>
      <c r="AE233" s="56" t="n">
        <f aca="false">ROUND(U232*(1+N(Debts!$D$10)/12),2)</f>
        <v>0</v>
      </c>
      <c r="AF233" s="56" t="n">
        <f aca="false">ROUND(V232*(1+N(Debts!$D$11)/12),2)</f>
        <v>0</v>
      </c>
      <c r="AG233" s="56" t="n">
        <f aca="false">ROUND(W232*(1+N(Debts!$D$12)/12),2)</f>
        <v>0</v>
      </c>
      <c r="AH233" s="56" t="n">
        <f aca="false">ROUND(X232*(1+N(Debts!$D$13)/12),2)</f>
        <v>0</v>
      </c>
      <c r="AI233" s="56" t="n">
        <f aca="false">ROUND(Y232*(1+N(Debts!$D$14)/12),2)</f>
        <v>0</v>
      </c>
      <c r="AJ233" s="56" t="n">
        <f aca="false">MIN(Z233,MAX(0,N(Debts!$E$5)))</f>
        <v>0</v>
      </c>
      <c r="AK233" s="56" t="n">
        <f aca="false">MIN(AA233,MAX(0,N(Debts!$E$6)))</f>
        <v>0</v>
      </c>
      <c r="AL233" s="56" t="n">
        <f aca="false">MIN(AB233,MAX(0,N(Debts!$E$7)))</f>
        <v>0</v>
      </c>
      <c r="AM233" s="56" t="n">
        <f aca="false">MIN(AC233,MAX(0,N(Debts!$E$8)))</f>
        <v>0</v>
      </c>
      <c r="AN233" s="56" t="n">
        <f aca="false">MIN(AD233,MAX(0,N(Debts!$E$9)))</f>
        <v>0</v>
      </c>
      <c r="AO233" s="56" t="n">
        <f aca="false">MIN(AE233,MAX(0,N(Debts!$E$10)))</f>
        <v>0</v>
      </c>
      <c r="AP233" s="56" t="n">
        <f aca="false">MIN(AF233,MAX(0,N(Debts!$E$11)))</f>
        <v>0</v>
      </c>
      <c r="AQ233" s="56" t="n">
        <f aca="false">MIN(AG233,MAX(0,N(Debts!$E$12)))</f>
        <v>0</v>
      </c>
      <c r="AR233" s="56" t="n">
        <f aca="false">MIN(AH233,MAX(0,N(Debts!$E$13)))</f>
        <v>0</v>
      </c>
      <c r="AS233" s="56" t="n">
        <f aca="false">MIN(AI233,MAX(0,N(Debts!$E$14)))</f>
        <v>0</v>
      </c>
    </row>
    <row r="234" customFormat="false" ht="15" hidden="false" customHeight="false" outlineLevel="0" collapsed="false">
      <c r="A234" s="53" t="n">
        <v>230</v>
      </c>
      <c r="B234" s="54" t="n">
        <f aca="false">EDATE('Start Here'!$B$8,229)</f>
        <v>53297</v>
      </c>
      <c r="C234" s="42" t="n">
        <f aca="false">SUM(F234:O234)</f>
        <v>0</v>
      </c>
      <c r="D234" s="42" t="n">
        <f aca="false">ROUND(SUM($Z234:$AI234)-SUM(P233:Y233),2)</f>
        <v>0</v>
      </c>
      <c r="E234" s="55" t="n">
        <f aca="false">SUM(P234:Y234)</f>
        <v>0</v>
      </c>
      <c r="F234" s="42" t="n">
        <f aca="false">AJ234+MIN(Z234-AJ234,MAX(0,'Start Here'!$B$10-SUM($AJ234:$AS234)-SUMPRODUCT(($Z$3:$AI$3&lt;Z$3)*($Z234:$AI234-$AJ234:$AS234))))</f>
        <v>0</v>
      </c>
      <c r="G234" s="42" t="n">
        <f aca="false">AK234+MIN(AA234-AK234,MAX(0,'Start Here'!$B$10-SUM($AJ234:$AS234)-SUMPRODUCT(($Z$3:$AI$3&lt;AA$3)*($Z234:$AI234-$AJ234:$AS234))))</f>
        <v>0</v>
      </c>
      <c r="H234" s="42" t="n">
        <f aca="false">AL234+MIN(AB234-AL234,MAX(0,'Start Here'!$B$10-SUM($AJ234:$AS234)-SUMPRODUCT(($Z$3:$AI$3&lt;AB$3)*($Z234:$AI234-$AJ234:$AS234))))</f>
        <v>0</v>
      </c>
      <c r="I234" s="42" t="n">
        <f aca="false">AM234+MIN(AC234-AM234,MAX(0,'Start Here'!$B$10-SUM($AJ234:$AS234)-SUMPRODUCT(($Z$3:$AI$3&lt;AC$3)*($Z234:$AI234-$AJ234:$AS234))))</f>
        <v>0</v>
      </c>
      <c r="J234" s="42" t="n">
        <f aca="false">AN234+MIN(AD234-AN234,MAX(0,'Start Here'!$B$10-SUM($AJ234:$AS234)-SUMPRODUCT(($Z$3:$AI$3&lt;AD$3)*($Z234:$AI234-$AJ234:$AS234))))</f>
        <v>0</v>
      </c>
      <c r="K234" s="42" t="n">
        <f aca="false">AO234+MIN(AE234-AO234,MAX(0,'Start Here'!$B$10-SUM($AJ234:$AS234)-SUMPRODUCT(($Z$3:$AI$3&lt;AE$3)*($Z234:$AI234-$AJ234:$AS234))))</f>
        <v>0</v>
      </c>
      <c r="L234" s="42" t="n">
        <f aca="false">AP234+MIN(AF234-AP234,MAX(0,'Start Here'!$B$10-SUM($AJ234:$AS234)-SUMPRODUCT(($Z$3:$AI$3&lt;AF$3)*($Z234:$AI234-$AJ234:$AS234))))</f>
        <v>0</v>
      </c>
      <c r="M234" s="42" t="n">
        <f aca="false">AQ234+MIN(AG234-AQ234,MAX(0,'Start Here'!$B$10-SUM($AJ234:$AS234)-SUMPRODUCT(($Z$3:$AI$3&lt;AG$3)*($Z234:$AI234-$AJ234:$AS234))))</f>
        <v>0</v>
      </c>
      <c r="N234" s="42" t="n">
        <f aca="false">AR234+MIN(AH234-AR234,MAX(0,'Start Here'!$B$10-SUM($AJ234:$AS234)-SUMPRODUCT(($Z$3:$AI$3&lt;AH$3)*($Z234:$AI234-$AJ234:$AS234))))</f>
        <v>0</v>
      </c>
      <c r="O234" s="42" t="n">
        <f aca="false">AS234+MIN(AI234-AS234,MAX(0,'Start Here'!$B$10-SUM($AJ234:$AS234)-SUMPRODUCT(($Z$3:$AI$3&lt;AI$3)*($Z234:$AI234-$AJ234:$AS234))))</f>
        <v>0</v>
      </c>
      <c r="P234" s="42" t="n">
        <f aca="false">ROUND(Z234-F234,2)</f>
        <v>0</v>
      </c>
      <c r="Q234" s="42" t="n">
        <f aca="false">ROUND(AA234-G234,2)</f>
        <v>0</v>
      </c>
      <c r="R234" s="42" t="n">
        <f aca="false">ROUND(AB234-H234,2)</f>
        <v>0</v>
      </c>
      <c r="S234" s="42" t="n">
        <f aca="false">ROUND(AC234-I234,2)</f>
        <v>0</v>
      </c>
      <c r="T234" s="42" t="n">
        <f aca="false">ROUND(AD234-J234,2)</f>
        <v>0</v>
      </c>
      <c r="U234" s="42" t="n">
        <f aca="false">ROUND(AE234-K234,2)</f>
        <v>0</v>
      </c>
      <c r="V234" s="42" t="n">
        <f aca="false">ROUND(AF234-L234,2)</f>
        <v>0</v>
      </c>
      <c r="W234" s="42" t="n">
        <f aca="false">ROUND(AG234-M234,2)</f>
        <v>0</v>
      </c>
      <c r="X234" s="42" t="n">
        <f aca="false">ROUND(AH234-N234,2)</f>
        <v>0</v>
      </c>
      <c r="Y234" s="42" t="n">
        <f aca="false">ROUND(AI234-O234,2)</f>
        <v>0</v>
      </c>
      <c r="Z234" s="56" t="n">
        <f aca="false">ROUND(P233*(1+N(Debts!$D$5)/12),2)</f>
        <v>0</v>
      </c>
      <c r="AA234" s="56" t="n">
        <f aca="false">ROUND(Q233*(1+N(Debts!$D$6)/12),2)</f>
        <v>0</v>
      </c>
      <c r="AB234" s="56" t="n">
        <f aca="false">ROUND(R233*(1+N(Debts!$D$7)/12),2)</f>
        <v>0</v>
      </c>
      <c r="AC234" s="56" t="n">
        <f aca="false">ROUND(S233*(1+N(Debts!$D$8)/12),2)</f>
        <v>0</v>
      </c>
      <c r="AD234" s="56" t="n">
        <f aca="false">ROUND(T233*(1+N(Debts!$D$9)/12),2)</f>
        <v>0</v>
      </c>
      <c r="AE234" s="56" t="n">
        <f aca="false">ROUND(U233*(1+N(Debts!$D$10)/12),2)</f>
        <v>0</v>
      </c>
      <c r="AF234" s="56" t="n">
        <f aca="false">ROUND(V233*(1+N(Debts!$D$11)/12),2)</f>
        <v>0</v>
      </c>
      <c r="AG234" s="56" t="n">
        <f aca="false">ROUND(W233*(1+N(Debts!$D$12)/12),2)</f>
        <v>0</v>
      </c>
      <c r="AH234" s="56" t="n">
        <f aca="false">ROUND(X233*(1+N(Debts!$D$13)/12),2)</f>
        <v>0</v>
      </c>
      <c r="AI234" s="56" t="n">
        <f aca="false">ROUND(Y233*(1+N(Debts!$D$14)/12),2)</f>
        <v>0</v>
      </c>
      <c r="AJ234" s="56" t="n">
        <f aca="false">MIN(Z234,MAX(0,N(Debts!$E$5)))</f>
        <v>0</v>
      </c>
      <c r="AK234" s="56" t="n">
        <f aca="false">MIN(AA234,MAX(0,N(Debts!$E$6)))</f>
        <v>0</v>
      </c>
      <c r="AL234" s="56" t="n">
        <f aca="false">MIN(AB234,MAX(0,N(Debts!$E$7)))</f>
        <v>0</v>
      </c>
      <c r="AM234" s="56" t="n">
        <f aca="false">MIN(AC234,MAX(0,N(Debts!$E$8)))</f>
        <v>0</v>
      </c>
      <c r="AN234" s="56" t="n">
        <f aca="false">MIN(AD234,MAX(0,N(Debts!$E$9)))</f>
        <v>0</v>
      </c>
      <c r="AO234" s="56" t="n">
        <f aca="false">MIN(AE234,MAX(0,N(Debts!$E$10)))</f>
        <v>0</v>
      </c>
      <c r="AP234" s="56" t="n">
        <f aca="false">MIN(AF234,MAX(0,N(Debts!$E$11)))</f>
        <v>0</v>
      </c>
      <c r="AQ234" s="56" t="n">
        <f aca="false">MIN(AG234,MAX(0,N(Debts!$E$12)))</f>
        <v>0</v>
      </c>
      <c r="AR234" s="56" t="n">
        <f aca="false">MIN(AH234,MAX(0,N(Debts!$E$13)))</f>
        <v>0</v>
      </c>
      <c r="AS234" s="56" t="n">
        <f aca="false">MIN(AI234,MAX(0,N(Debts!$E$14)))</f>
        <v>0</v>
      </c>
    </row>
    <row r="235" customFormat="false" ht="15" hidden="false" customHeight="false" outlineLevel="0" collapsed="false">
      <c r="A235" s="53" t="n">
        <v>231</v>
      </c>
      <c r="B235" s="54" t="n">
        <f aca="false">EDATE('Start Here'!$B$8,230)</f>
        <v>53328</v>
      </c>
      <c r="C235" s="42" t="n">
        <f aca="false">SUM(F235:O235)</f>
        <v>0</v>
      </c>
      <c r="D235" s="42" t="n">
        <f aca="false">ROUND(SUM($Z235:$AI235)-SUM(P234:Y234),2)</f>
        <v>0</v>
      </c>
      <c r="E235" s="55" t="n">
        <f aca="false">SUM(P235:Y235)</f>
        <v>0</v>
      </c>
      <c r="F235" s="42" t="n">
        <f aca="false">AJ235+MIN(Z235-AJ235,MAX(0,'Start Here'!$B$10-SUM($AJ235:$AS235)-SUMPRODUCT(($Z$3:$AI$3&lt;Z$3)*($Z235:$AI235-$AJ235:$AS235))))</f>
        <v>0</v>
      </c>
      <c r="G235" s="42" t="n">
        <f aca="false">AK235+MIN(AA235-AK235,MAX(0,'Start Here'!$B$10-SUM($AJ235:$AS235)-SUMPRODUCT(($Z$3:$AI$3&lt;AA$3)*($Z235:$AI235-$AJ235:$AS235))))</f>
        <v>0</v>
      </c>
      <c r="H235" s="42" t="n">
        <f aca="false">AL235+MIN(AB235-AL235,MAX(0,'Start Here'!$B$10-SUM($AJ235:$AS235)-SUMPRODUCT(($Z$3:$AI$3&lt;AB$3)*($Z235:$AI235-$AJ235:$AS235))))</f>
        <v>0</v>
      </c>
      <c r="I235" s="42" t="n">
        <f aca="false">AM235+MIN(AC235-AM235,MAX(0,'Start Here'!$B$10-SUM($AJ235:$AS235)-SUMPRODUCT(($Z$3:$AI$3&lt;AC$3)*($Z235:$AI235-$AJ235:$AS235))))</f>
        <v>0</v>
      </c>
      <c r="J235" s="42" t="n">
        <f aca="false">AN235+MIN(AD235-AN235,MAX(0,'Start Here'!$B$10-SUM($AJ235:$AS235)-SUMPRODUCT(($Z$3:$AI$3&lt;AD$3)*($Z235:$AI235-$AJ235:$AS235))))</f>
        <v>0</v>
      </c>
      <c r="K235" s="42" t="n">
        <f aca="false">AO235+MIN(AE235-AO235,MAX(0,'Start Here'!$B$10-SUM($AJ235:$AS235)-SUMPRODUCT(($Z$3:$AI$3&lt;AE$3)*($Z235:$AI235-$AJ235:$AS235))))</f>
        <v>0</v>
      </c>
      <c r="L235" s="42" t="n">
        <f aca="false">AP235+MIN(AF235-AP235,MAX(0,'Start Here'!$B$10-SUM($AJ235:$AS235)-SUMPRODUCT(($Z$3:$AI$3&lt;AF$3)*($Z235:$AI235-$AJ235:$AS235))))</f>
        <v>0</v>
      </c>
      <c r="M235" s="42" t="n">
        <f aca="false">AQ235+MIN(AG235-AQ235,MAX(0,'Start Here'!$B$10-SUM($AJ235:$AS235)-SUMPRODUCT(($Z$3:$AI$3&lt;AG$3)*($Z235:$AI235-$AJ235:$AS235))))</f>
        <v>0</v>
      </c>
      <c r="N235" s="42" t="n">
        <f aca="false">AR235+MIN(AH235-AR235,MAX(0,'Start Here'!$B$10-SUM($AJ235:$AS235)-SUMPRODUCT(($Z$3:$AI$3&lt;AH$3)*($Z235:$AI235-$AJ235:$AS235))))</f>
        <v>0</v>
      </c>
      <c r="O235" s="42" t="n">
        <f aca="false">AS235+MIN(AI235-AS235,MAX(0,'Start Here'!$B$10-SUM($AJ235:$AS235)-SUMPRODUCT(($Z$3:$AI$3&lt;AI$3)*($Z235:$AI235-$AJ235:$AS235))))</f>
        <v>0</v>
      </c>
      <c r="P235" s="42" t="n">
        <f aca="false">ROUND(Z235-F235,2)</f>
        <v>0</v>
      </c>
      <c r="Q235" s="42" t="n">
        <f aca="false">ROUND(AA235-G235,2)</f>
        <v>0</v>
      </c>
      <c r="R235" s="42" t="n">
        <f aca="false">ROUND(AB235-H235,2)</f>
        <v>0</v>
      </c>
      <c r="S235" s="42" t="n">
        <f aca="false">ROUND(AC235-I235,2)</f>
        <v>0</v>
      </c>
      <c r="T235" s="42" t="n">
        <f aca="false">ROUND(AD235-J235,2)</f>
        <v>0</v>
      </c>
      <c r="U235" s="42" t="n">
        <f aca="false">ROUND(AE235-K235,2)</f>
        <v>0</v>
      </c>
      <c r="V235" s="42" t="n">
        <f aca="false">ROUND(AF235-L235,2)</f>
        <v>0</v>
      </c>
      <c r="W235" s="42" t="n">
        <f aca="false">ROUND(AG235-M235,2)</f>
        <v>0</v>
      </c>
      <c r="X235" s="42" t="n">
        <f aca="false">ROUND(AH235-N235,2)</f>
        <v>0</v>
      </c>
      <c r="Y235" s="42" t="n">
        <f aca="false">ROUND(AI235-O235,2)</f>
        <v>0</v>
      </c>
      <c r="Z235" s="56" t="n">
        <f aca="false">ROUND(P234*(1+N(Debts!$D$5)/12),2)</f>
        <v>0</v>
      </c>
      <c r="AA235" s="56" t="n">
        <f aca="false">ROUND(Q234*(1+N(Debts!$D$6)/12),2)</f>
        <v>0</v>
      </c>
      <c r="AB235" s="56" t="n">
        <f aca="false">ROUND(R234*(1+N(Debts!$D$7)/12),2)</f>
        <v>0</v>
      </c>
      <c r="AC235" s="56" t="n">
        <f aca="false">ROUND(S234*(1+N(Debts!$D$8)/12),2)</f>
        <v>0</v>
      </c>
      <c r="AD235" s="56" t="n">
        <f aca="false">ROUND(T234*(1+N(Debts!$D$9)/12),2)</f>
        <v>0</v>
      </c>
      <c r="AE235" s="56" t="n">
        <f aca="false">ROUND(U234*(1+N(Debts!$D$10)/12),2)</f>
        <v>0</v>
      </c>
      <c r="AF235" s="56" t="n">
        <f aca="false">ROUND(V234*(1+N(Debts!$D$11)/12),2)</f>
        <v>0</v>
      </c>
      <c r="AG235" s="56" t="n">
        <f aca="false">ROUND(W234*(1+N(Debts!$D$12)/12),2)</f>
        <v>0</v>
      </c>
      <c r="AH235" s="56" t="n">
        <f aca="false">ROUND(X234*(1+N(Debts!$D$13)/12),2)</f>
        <v>0</v>
      </c>
      <c r="AI235" s="56" t="n">
        <f aca="false">ROUND(Y234*(1+N(Debts!$D$14)/12),2)</f>
        <v>0</v>
      </c>
      <c r="AJ235" s="56" t="n">
        <f aca="false">MIN(Z235,MAX(0,N(Debts!$E$5)))</f>
        <v>0</v>
      </c>
      <c r="AK235" s="56" t="n">
        <f aca="false">MIN(AA235,MAX(0,N(Debts!$E$6)))</f>
        <v>0</v>
      </c>
      <c r="AL235" s="56" t="n">
        <f aca="false">MIN(AB235,MAX(0,N(Debts!$E$7)))</f>
        <v>0</v>
      </c>
      <c r="AM235" s="56" t="n">
        <f aca="false">MIN(AC235,MAX(0,N(Debts!$E$8)))</f>
        <v>0</v>
      </c>
      <c r="AN235" s="56" t="n">
        <f aca="false">MIN(AD235,MAX(0,N(Debts!$E$9)))</f>
        <v>0</v>
      </c>
      <c r="AO235" s="56" t="n">
        <f aca="false">MIN(AE235,MAX(0,N(Debts!$E$10)))</f>
        <v>0</v>
      </c>
      <c r="AP235" s="56" t="n">
        <f aca="false">MIN(AF235,MAX(0,N(Debts!$E$11)))</f>
        <v>0</v>
      </c>
      <c r="AQ235" s="56" t="n">
        <f aca="false">MIN(AG235,MAX(0,N(Debts!$E$12)))</f>
        <v>0</v>
      </c>
      <c r="AR235" s="56" t="n">
        <f aca="false">MIN(AH235,MAX(0,N(Debts!$E$13)))</f>
        <v>0</v>
      </c>
      <c r="AS235" s="56" t="n">
        <f aca="false">MIN(AI235,MAX(0,N(Debts!$E$14)))</f>
        <v>0</v>
      </c>
    </row>
    <row r="236" customFormat="false" ht="15" hidden="false" customHeight="false" outlineLevel="0" collapsed="false">
      <c r="A236" s="53" t="n">
        <v>232</v>
      </c>
      <c r="B236" s="54" t="n">
        <f aca="false">EDATE('Start Here'!$B$8,231)</f>
        <v>53359</v>
      </c>
      <c r="C236" s="42" t="n">
        <f aca="false">SUM(F236:O236)</f>
        <v>0</v>
      </c>
      <c r="D236" s="42" t="n">
        <f aca="false">ROUND(SUM($Z236:$AI236)-SUM(P235:Y235),2)</f>
        <v>0</v>
      </c>
      <c r="E236" s="55" t="n">
        <f aca="false">SUM(P236:Y236)</f>
        <v>0</v>
      </c>
      <c r="F236" s="42" t="n">
        <f aca="false">AJ236+MIN(Z236-AJ236,MAX(0,'Start Here'!$B$10-SUM($AJ236:$AS236)-SUMPRODUCT(($Z$3:$AI$3&lt;Z$3)*($Z236:$AI236-$AJ236:$AS236))))</f>
        <v>0</v>
      </c>
      <c r="G236" s="42" t="n">
        <f aca="false">AK236+MIN(AA236-AK236,MAX(0,'Start Here'!$B$10-SUM($AJ236:$AS236)-SUMPRODUCT(($Z$3:$AI$3&lt;AA$3)*($Z236:$AI236-$AJ236:$AS236))))</f>
        <v>0</v>
      </c>
      <c r="H236" s="42" t="n">
        <f aca="false">AL236+MIN(AB236-AL236,MAX(0,'Start Here'!$B$10-SUM($AJ236:$AS236)-SUMPRODUCT(($Z$3:$AI$3&lt;AB$3)*($Z236:$AI236-$AJ236:$AS236))))</f>
        <v>0</v>
      </c>
      <c r="I236" s="42" t="n">
        <f aca="false">AM236+MIN(AC236-AM236,MAX(0,'Start Here'!$B$10-SUM($AJ236:$AS236)-SUMPRODUCT(($Z$3:$AI$3&lt;AC$3)*($Z236:$AI236-$AJ236:$AS236))))</f>
        <v>0</v>
      </c>
      <c r="J236" s="42" t="n">
        <f aca="false">AN236+MIN(AD236-AN236,MAX(0,'Start Here'!$B$10-SUM($AJ236:$AS236)-SUMPRODUCT(($Z$3:$AI$3&lt;AD$3)*($Z236:$AI236-$AJ236:$AS236))))</f>
        <v>0</v>
      </c>
      <c r="K236" s="42" t="n">
        <f aca="false">AO236+MIN(AE236-AO236,MAX(0,'Start Here'!$B$10-SUM($AJ236:$AS236)-SUMPRODUCT(($Z$3:$AI$3&lt;AE$3)*($Z236:$AI236-$AJ236:$AS236))))</f>
        <v>0</v>
      </c>
      <c r="L236" s="42" t="n">
        <f aca="false">AP236+MIN(AF236-AP236,MAX(0,'Start Here'!$B$10-SUM($AJ236:$AS236)-SUMPRODUCT(($Z$3:$AI$3&lt;AF$3)*($Z236:$AI236-$AJ236:$AS236))))</f>
        <v>0</v>
      </c>
      <c r="M236" s="42" t="n">
        <f aca="false">AQ236+MIN(AG236-AQ236,MAX(0,'Start Here'!$B$10-SUM($AJ236:$AS236)-SUMPRODUCT(($Z$3:$AI$3&lt;AG$3)*($Z236:$AI236-$AJ236:$AS236))))</f>
        <v>0</v>
      </c>
      <c r="N236" s="42" t="n">
        <f aca="false">AR236+MIN(AH236-AR236,MAX(0,'Start Here'!$B$10-SUM($AJ236:$AS236)-SUMPRODUCT(($Z$3:$AI$3&lt;AH$3)*($Z236:$AI236-$AJ236:$AS236))))</f>
        <v>0</v>
      </c>
      <c r="O236" s="42" t="n">
        <f aca="false">AS236+MIN(AI236-AS236,MAX(0,'Start Here'!$B$10-SUM($AJ236:$AS236)-SUMPRODUCT(($Z$3:$AI$3&lt;AI$3)*($Z236:$AI236-$AJ236:$AS236))))</f>
        <v>0</v>
      </c>
      <c r="P236" s="42" t="n">
        <f aca="false">ROUND(Z236-F236,2)</f>
        <v>0</v>
      </c>
      <c r="Q236" s="42" t="n">
        <f aca="false">ROUND(AA236-G236,2)</f>
        <v>0</v>
      </c>
      <c r="R236" s="42" t="n">
        <f aca="false">ROUND(AB236-H236,2)</f>
        <v>0</v>
      </c>
      <c r="S236" s="42" t="n">
        <f aca="false">ROUND(AC236-I236,2)</f>
        <v>0</v>
      </c>
      <c r="T236" s="42" t="n">
        <f aca="false">ROUND(AD236-J236,2)</f>
        <v>0</v>
      </c>
      <c r="U236" s="42" t="n">
        <f aca="false">ROUND(AE236-K236,2)</f>
        <v>0</v>
      </c>
      <c r="V236" s="42" t="n">
        <f aca="false">ROUND(AF236-L236,2)</f>
        <v>0</v>
      </c>
      <c r="W236" s="42" t="n">
        <f aca="false">ROUND(AG236-M236,2)</f>
        <v>0</v>
      </c>
      <c r="X236" s="42" t="n">
        <f aca="false">ROUND(AH236-N236,2)</f>
        <v>0</v>
      </c>
      <c r="Y236" s="42" t="n">
        <f aca="false">ROUND(AI236-O236,2)</f>
        <v>0</v>
      </c>
      <c r="Z236" s="56" t="n">
        <f aca="false">ROUND(P235*(1+N(Debts!$D$5)/12),2)</f>
        <v>0</v>
      </c>
      <c r="AA236" s="56" t="n">
        <f aca="false">ROUND(Q235*(1+N(Debts!$D$6)/12),2)</f>
        <v>0</v>
      </c>
      <c r="AB236" s="56" t="n">
        <f aca="false">ROUND(R235*(1+N(Debts!$D$7)/12),2)</f>
        <v>0</v>
      </c>
      <c r="AC236" s="56" t="n">
        <f aca="false">ROUND(S235*(1+N(Debts!$D$8)/12),2)</f>
        <v>0</v>
      </c>
      <c r="AD236" s="56" t="n">
        <f aca="false">ROUND(T235*(1+N(Debts!$D$9)/12),2)</f>
        <v>0</v>
      </c>
      <c r="AE236" s="56" t="n">
        <f aca="false">ROUND(U235*(1+N(Debts!$D$10)/12),2)</f>
        <v>0</v>
      </c>
      <c r="AF236" s="56" t="n">
        <f aca="false">ROUND(V235*(1+N(Debts!$D$11)/12),2)</f>
        <v>0</v>
      </c>
      <c r="AG236" s="56" t="n">
        <f aca="false">ROUND(W235*(1+N(Debts!$D$12)/12),2)</f>
        <v>0</v>
      </c>
      <c r="AH236" s="56" t="n">
        <f aca="false">ROUND(X235*(1+N(Debts!$D$13)/12),2)</f>
        <v>0</v>
      </c>
      <c r="AI236" s="56" t="n">
        <f aca="false">ROUND(Y235*(1+N(Debts!$D$14)/12),2)</f>
        <v>0</v>
      </c>
      <c r="AJ236" s="56" t="n">
        <f aca="false">MIN(Z236,MAX(0,N(Debts!$E$5)))</f>
        <v>0</v>
      </c>
      <c r="AK236" s="56" t="n">
        <f aca="false">MIN(AA236,MAX(0,N(Debts!$E$6)))</f>
        <v>0</v>
      </c>
      <c r="AL236" s="56" t="n">
        <f aca="false">MIN(AB236,MAX(0,N(Debts!$E$7)))</f>
        <v>0</v>
      </c>
      <c r="AM236" s="56" t="n">
        <f aca="false">MIN(AC236,MAX(0,N(Debts!$E$8)))</f>
        <v>0</v>
      </c>
      <c r="AN236" s="56" t="n">
        <f aca="false">MIN(AD236,MAX(0,N(Debts!$E$9)))</f>
        <v>0</v>
      </c>
      <c r="AO236" s="56" t="n">
        <f aca="false">MIN(AE236,MAX(0,N(Debts!$E$10)))</f>
        <v>0</v>
      </c>
      <c r="AP236" s="56" t="n">
        <f aca="false">MIN(AF236,MAX(0,N(Debts!$E$11)))</f>
        <v>0</v>
      </c>
      <c r="AQ236" s="56" t="n">
        <f aca="false">MIN(AG236,MAX(0,N(Debts!$E$12)))</f>
        <v>0</v>
      </c>
      <c r="AR236" s="56" t="n">
        <f aca="false">MIN(AH236,MAX(0,N(Debts!$E$13)))</f>
        <v>0</v>
      </c>
      <c r="AS236" s="56" t="n">
        <f aca="false">MIN(AI236,MAX(0,N(Debts!$E$14)))</f>
        <v>0</v>
      </c>
    </row>
    <row r="237" customFormat="false" ht="15" hidden="false" customHeight="false" outlineLevel="0" collapsed="false">
      <c r="A237" s="53" t="n">
        <v>233</v>
      </c>
      <c r="B237" s="54" t="n">
        <f aca="false">EDATE('Start Here'!$B$8,232)</f>
        <v>53387</v>
      </c>
      <c r="C237" s="42" t="n">
        <f aca="false">SUM(F237:O237)</f>
        <v>0</v>
      </c>
      <c r="D237" s="42" t="n">
        <f aca="false">ROUND(SUM($Z237:$AI237)-SUM(P236:Y236),2)</f>
        <v>0</v>
      </c>
      <c r="E237" s="55" t="n">
        <f aca="false">SUM(P237:Y237)</f>
        <v>0</v>
      </c>
      <c r="F237" s="42" t="n">
        <f aca="false">AJ237+MIN(Z237-AJ237,MAX(0,'Start Here'!$B$10-SUM($AJ237:$AS237)-SUMPRODUCT(($Z$3:$AI$3&lt;Z$3)*($Z237:$AI237-$AJ237:$AS237))))</f>
        <v>0</v>
      </c>
      <c r="G237" s="42" t="n">
        <f aca="false">AK237+MIN(AA237-AK237,MAX(0,'Start Here'!$B$10-SUM($AJ237:$AS237)-SUMPRODUCT(($Z$3:$AI$3&lt;AA$3)*($Z237:$AI237-$AJ237:$AS237))))</f>
        <v>0</v>
      </c>
      <c r="H237" s="42" t="n">
        <f aca="false">AL237+MIN(AB237-AL237,MAX(0,'Start Here'!$B$10-SUM($AJ237:$AS237)-SUMPRODUCT(($Z$3:$AI$3&lt;AB$3)*($Z237:$AI237-$AJ237:$AS237))))</f>
        <v>0</v>
      </c>
      <c r="I237" s="42" t="n">
        <f aca="false">AM237+MIN(AC237-AM237,MAX(0,'Start Here'!$B$10-SUM($AJ237:$AS237)-SUMPRODUCT(($Z$3:$AI$3&lt;AC$3)*($Z237:$AI237-$AJ237:$AS237))))</f>
        <v>0</v>
      </c>
      <c r="J237" s="42" t="n">
        <f aca="false">AN237+MIN(AD237-AN237,MAX(0,'Start Here'!$B$10-SUM($AJ237:$AS237)-SUMPRODUCT(($Z$3:$AI$3&lt;AD$3)*($Z237:$AI237-$AJ237:$AS237))))</f>
        <v>0</v>
      </c>
      <c r="K237" s="42" t="n">
        <f aca="false">AO237+MIN(AE237-AO237,MAX(0,'Start Here'!$B$10-SUM($AJ237:$AS237)-SUMPRODUCT(($Z$3:$AI$3&lt;AE$3)*($Z237:$AI237-$AJ237:$AS237))))</f>
        <v>0</v>
      </c>
      <c r="L237" s="42" t="n">
        <f aca="false">AP237+MIN(AF237-AP237,MAX(0,'Start Here'!$B$10-SUM($AJ237:$AS237)-SUMPRODUCT(($Z$3:$AI$3&lt;AF$3)*($Z237:$AI237-$AJ237:$AS237))))</f>
        <v>0</v>
      </c>
      <c r="M237" s="42" t="n">
        <f aca="false">AQ237+MIN(AG237-AQ237,MAX(0,'Start Here'!$B$10-SUM($AJ237:$AS237)-SUMPRODUCT(($Z$3:$AI$3&lt;AG$3)*($Z237:$AI237-$AJ237:$AS237))))</f>
        <v>0</v>
      </c>
      <c r="N237" s="42" t="n">
        <f aca="false">AR237+MIN(AH237-AR237,MAX(0,'Start Here'!$B$10-SUM($AJ237:$AS237)-SUMPRODUCT(($Z$3:$AI$3&lt;AH$3)*($Z237:$AI237-$AJ237:$AS237))))</f>
        <v>0</v>
      </c>
      <c r="O237" s="42" t="n">
        <f aca="false">AS237+MIN(AI237-AS237,MAX(0,'Start Here'!$B$10-SUM($AJ237:$AS237)-SUMPRODUCT(($Z$3:$AI$3&lt;AI$3)*($Z237:$AI237-$AJ237:$AS237))))</f>
        <v>0</v>
      </c>
      <c r="P237" s="42" t="n">
        <f aca="false">ROUND(Z237-F237,2)</f>
        <v>0</v>
      </c>
      <c r="Q237" s="42" t="n">
        <f aca="false">ROUND(AA237-G237,2)</f>
        <v>0</v>
      </c>
      <c r="R237" s="42" t="n">
        <f aca="false">ROUND(AB237-H237,2)</f>
        <v>0</v>
      </c>
      <c r="S237" s="42" t="n">
        <f aca="false">ROUND(AC237-I237,2)</f>
        <v>0</v>
      </c>
      <c r="T237" s="42" t="n">
        <f aca="false">ROUND(AD237-J237,2)</f>
        <v>0</v>
      </c>
      <c r="U237" s="42" t="n">
        <f aca="false">ROUND(AE237-K237,2)</f>
        <v>0</v>
      </c>
      <c r="V237" s="42" t="n">
        <f aca="false">ROUND(AF237-L237,2)</f>
        <v>0</v>
      </c>
      <c r="W237" s="42" t="n">
        <f aca="false">ROUND(AG237-M237,2)</f>
        <v>0</v>
      </c>
      <c r="X237" s="42" t="n">
        <f aca="false">ROUND(AH237-N237,2)</f>
        <v>0</v>
      </c>
      <c r="Y237" s="42" t="n">
        <f aca="false">ROUND(AI237-O237,2)</f>
        <v>0</v>
      </c>
      <c r="Z237" s="56" t="n">
        <f aca="false">ROUND(P236*(1+N(Debts!$D$5)/12),2)</f>
        <v>0</v>
      </c>
      <c r="AA237" s="56" t="n">
        <f aca="false">ROUND(Q236*(1+N(Debts!$D$6)/12),2)</f>
        <v>0</v>
      </c>
      <c r="AB237" s="56" t="n">
        <f aca="false">ROUND(R236*(1+N(Debts!$D$7)/12),2)</f>
        <v>0</v>
      </c>
      <c r="AC237" s="56" t="n">
        <f aca="false">ROUND(S236*(1+N(Debts!$D$8)/12),2)</f>
        <v>0</v>
      </c>
      <c r="AD237" s="56" t="n">
        <f aca="false">ROUND(T236*(1+N(Debts!$D$9)/12),2)</f>
        <v>0</v>
      </c>
      <c r="AE237" s="56" t="n">
        <f aca="false">ROUND(U236*(1+N(Debts!$D$10)/12),2)</f>
        <v>0</v>
      </c>
      <c r="AF237" s="56" t="n">
        <f aca="false">ROUND(V236*(1+N(Debts!$D$11)/12),2)</f>
        <v>0</v>
      </c>
      <c r="AG237" s="56" t="n">
        <f aca="false">ROUND(W236*(1+N(Debts!$D$12)/12),2)</f>
        <v>0</v>
      </c>
      <c r="AH237" s="56" t="n">
        <f aca="false">ROUND(X236*(1+N(Debts!$D$13)/12),2)</f>
        <v>0</v>
      </c>
      <c r="AI237" s="56" t="n">
        <f aca="false">ROUND(Y236*(1+N(Debts!$D$14)/12),2)</f>
        <v>0</v>
      </c>
      <c r="AJ237" s="56" t="n">
        <f aca="false">MIN(Z237,MAX(0,N(Debts!$E$5)))</f>
        <v>0</v>
      </c>
      <c r="AK237" s="56" t="n">
        <f aca="false">MIN(AA237,MAX(0,N(Debts!$E$6)))</f>
        <v>0</v>
      </c>
      <c r="AL237" s="56" t="n">
        <f aca="false">MIN(AB237,MAX(0,N(Debts!$E$7)))</f>
        <v>0</v>
      </c>
      <c r="AM237" s="56" t="n">
        <f aca="false">MIN(AC237,MAX(0,N(Debts!$E$8)))</f>
        <v>0</v>
      </c>
      <c r="AN237" s="56" t="n">
        <f aca="false">MIN(AD237,MAX(0,N(Debts!$E$9)))</f>
        <v>0</v>
      </c>
      <c r="AO237" s="56" t="n">
        <f aca="false">MIN(AE237,MAX(0,N(Debts!$E$10)))</f>
        <v>0</v>
      </c>
      <c r="AP237" s="56" t="n">
        <f aca="false">MIN(AF237,MAX(0,N(Debts!$E$11)))</f>
        <v>0</v>
      </c>
      <c r="AQ237" s="56" t="n">
        <f aca="false">MIN(AG237,MAX(0,N(Debts!$E$12)))</f>
        <v>0</v>
      </c>
      <c r="AR237" s="56" t="n">
        <f aca="false">MIN(AH237,MAX(0,N(Debts!$E$13)))</f>
        <v>0</v>
      </c>
      <c r="AS237" s="56" t="n">
        <f aca="false">MIN(AI237,MAX(0,N(Debts!$E$14)))</f>
        <v>0</v>
      </c>
    </row>
    <row r="238" customFormat="false" ht="15" hidden="false" customHeight="false" outlineLevel="0" collapsed="false">
      <c r="A238" s="53" t="n">
        <v>234</v>
      </c>
      <c r="B238" s="54" t="n">
        <f aca="false">EDATE('Start Here'!$B$8,233)</f>
        <v>53418</v>
      </c>
      <c r="C238" s="42" t="n">
        <f aca="false">SUM(F238:O238)</f>
        <v>0</v>
      </c>
      <c r="D238" s="42" t="n">
        <f aca="false">ROUND(SUM($Z238:$AI238)-SUM(P237:Y237),2)</f>
        <v>0</v>
      </c>
      <c r="E238" s="55" t="n">
        <f aca="false">SUM(P238:Y238)</f>
        <v>0</v>
      </c>
      <c r="F238" s="42" t="n">
        <f aca="false">AJ238+MIN(Z238-AJ238,MAX(0,'Start Here'!$B$10-SUM($AJ238:$AS238)-SUMPRODUCT(($Z$3:$AI$3&lt;Z$3)*($Z238:$AI238-$AJ238:$AS238))))</f>
        <v>0</v>
      </c>
      <c r="G238" s="42" t="n">
        <f aca="false">AK238+MIN(AA238-AK238,MAX(0,'Start Here'!$B$10-SUM($AJ238:$AS238)-SUMPRODUCT(($Z$3:$AI$3&lt;AA$3)*($Z238:$AI238-$AJ238:$AS238))))</f>
        <v>0</v>
      </c>
      <c r="H238" s="42" t="n">
        <f aca="false">AL238+MIN(AB238-AL238,MAX(0,'Start Here'!$B$10-SUM($AJ238:$AS238)-SUMPRODUCT(($Z$3:$AI$3&lt;AB$3)*($Z238:$AI238-$AJ238:$AS238))))</f>
        <v>0</v>
      </c>
      <c r="I238" s="42" t="n">
        <f aca="false">AM238+MIN(AC238-AM238,MAX(0,'Start Here'!$B$10-SUM($AJ238:$AS238)-SUMPRODUCT(($Z$3:$AI$3&lt;AC$3)*($Z238:$AI238-$AJ238:$AS238))))</f>
        <v>0</v>
      </c>
      <c r="J238" s="42" t="n">
        <f aca="false">AN238+MIN(AD238-AN238,MAX(0,'Start Here'!$B$10-SUM($AJ238:$AS238)-SUMPRODUCT(($Z$3:$AI$3&lt;AD$3)*($Z238:$AI238-$AJ238:$AS238))))</f>
        <v>0</v>
      </c>
      <c r="K238" s="42" t="n">
        <f aca="false">AO238+MIN(AE238-AO238,MAX(0,'Start Here'!$B$10-SUM($AJ238:$AS238)-SUMPRODUCT(($Z$3:$AI$3&lt;AE$3)*($Z238:$AI238-$AJ238:$AS238))))</f>
        <v>0</v>
      </c>
      <c r="L238" s="42" t="n">
        <f aca="false">AP238+MIN(AF238-AP238,MAX(0,'Start Here'!$B$10-SUM($AJ238:$AS238)-SUMPRODUCT(($Z$3:$AI$3&lt;AF$3)*($Z238:$AI238-$AJ238:$AS238))))</f>
        <v>0</v>
      </c>
      <c r="M238" s="42" t="n">
        <f aca="false">AQ238+MIN(AG238-AQ238,MAX(0,'Start Here'!$B$10-SUM($AJ238:$AS238)-SUMPRODUCT(($Z$3:$AI$3&lt;AG$3)*($Z238:$AI238-$AJ238:$AS238))))</f>
        <v>0</v>
      </c>
      <c r="N238" s="42" t="n">
        <f aca="false">AR238+MIN(AH238-AR238,MAX(0,'Start Here'!$B$10-SUM($AJ238:$AS238)-SUMPRODUCT(($Z$3:$AI$3&lt;AH$3)*($Z238:$AI238-$AJ238:$AS238))))</f>
        <v>0</v>
      </c>
      <c r="O238" s="42" t="n">
        <f aca="false">AS238+MIN(AI238-AS238,MAX(0,'Start Here'!$B$10-SUM($AJ238:$AS238)-SUMPRODUCT(($Z$3:$AI$3&lt;AI$3)*($Z238:$AI238-$AJ238:$AS238))))</f>
        <v>0</v>
      </c>
      <c r="P238" s="42" t="n">
        <f aca="false">ROUND(Z238-F238,2)</f>
        <v>0</v>
      </c>
      <c r="Q238" s="42" t="n">
        <f aca="false">ROUND(AA238-G238,2)</f>
        <v>0</v>
      </c>
      <c r="R238" s="42" t="n">
        <f aca="false">ROUND(AB238-H238,2)</f>
        <v>0</v>
      </c>
      <c r="S238" s="42" t="n">
        <f aca="false">ROUND(AC238-I238,2)</f>
        <v>0</v>
      </c>
      <c r="T238" s="42" t="n">
        <f aca="false">ROUND(AD238-J238,2)</f>
        <v>0</v>
      </c>
      <c r="U238" s="42" t="n">
        <f aca="false">ROUND(AE238-K238,2)</f>
        <v>0</v>
      </c>
      <c r="V238" s="42" t="n">
        <f aca="false">ROUND(AF238-L238,2)</f>
        <v>0</v>
      </c>
      <c r="W238" s="42" t="n">
        <f aca="false">ROUND(AG238-M238,2)</f>
        <v>0</v>
      </c>
      <c r="X238" s="42" t="n">
        <f aca="false">ROUND(AH238-N238,2)</f>
        <v>0</v>
      </c>
      <c r="Y238" s="42" t="n">
        <f aca="false">ROUND(AI238-O238,2)</f>
        <v>0</v>
      </c>
      <c r="Z238" s="56" t="n">
        <f aca="false">ROUND(P237*(1+N(Debts!$D$5)/12),2)</f>
        <v>0</v>
      </c>
      <c r="AA238" s="56" t="n">
        <f aca="false">ROUND(Q237*(1+N(Debts!$D$6)/12),2)</f>
        <v>0</v>
      </c>
      <c r="AB238" s="56" t="n">
        <f aca="false">ROUND(R237*(1+N(Debts!$D$7)/12),2)</f>
        <v>0</v>
      </c>
      <c r="AC238" s="56" t="n">
        <f aca="false">ROUND(S237*(1+N(Debts!$D$8)/12),2)</f>
        <v>0</v>
      </c>
      <c r="AD238" s="56" t="n">
        <f aca="false">ROUND(T237*(1+N(Debts!$D$9)/12),2)</f>
        <v>0</v>
      </c>
      <c r="AE238" s="56" t="n">
        <f aca="false">ROUND(U237*(1+N(Debts!$D$10)/12),2)</f>
        <v>0</v>
      </c>
      <c r="AF238" s="56" t="n">
        <f aca="false">ROUND(V237*(1+N(Debts!$D$11)/12),2)</f>
        <v>0</v>
      </c>
      <c r="AG238" s="56" t="n">
        <f aca="false">ROUND(W237*(1+N(Debts!$D$12)/12),2)</f>
        <v>0</v>
      </c>
      <c r="AH238" s="56" t="n">
        <f aca="false">ROUND(X237*(1+N(Debts!$D$13)/12),2)</f>
        <v>0</v>
      </c>
      <c r="AI238" s="56" t="n">
        <f aca="false">ROUND(Y237*(1+N(Debts!$D$14)/12),2)</f>
        <v>0</v>
      </c>
      <c r="AJ238" s="56" t="n">
        <f aca="false">MIN(Z238,MAX(0,N(Debts!$E$5)))</f>
        <v>0</v>
      </c>
      <c r="AK238" s="56" t="n">
        <f aca="false">MIN(AA238,MAX(0,N(Debts!$E$6)))</f>
        <v>0</v>
      </c>
      <c r="AL238" s="56" t="n">
        <f aca="false">MIN(AB238,MAX(0,N(Debts!$E$7)))</f>
        <v>0</v>
      </c>
      <c r="AM238" s="56" t="n">
        <f aca="false">MIN(AC238,MAX(0,N(Debts!$E$8)))</f>
        <v>0</v>
      </c>
      <c r="AN238" s="56" t="n">
        <f aca="false">MIN(AD238,MAX(0,N(Debts!$E$9)))</f>
        <v>0</v>
      </c>
      <c r="AO238" s="56" t="n">
        <f aca="false">MIN(AE238,MAX(0,N(Debts!$E$10)))</f>
        <v>0</v>
      </c>
      <c r="AP238" s="56" t="n">
        <f aca="false">MIN(AF238,MAX(0,N(Debts!$E$11)))</f>
        <v>0</v>
      </c>
      <c r="AQ238" s="56" t="n">
        <f aca="false">MIN(AG238,MAX(0,N(Debts!$E$12)))</f>
        <v>0</v>
      </c>
      <c r="AR238" s="56" t="n">
        <f aca="false">MIN(AH238,MAX(0,N(Debts!$E$13)))</f>
        <v>0</v>
      </c>
      <c r="AS238" s="56" t="n">
        <f aca="false">MIN(AI238,MAX(0,N(Debts!$E$14)))</f>
        <v>0</v>
      </c>
    </row>
    <row r="239" customFormat="false" ht="15" hidden="false" customHeight="false" outlineLevel="0" collapsed="false">
      <c r="A239" s="53" t="n">
        <v>235</v>
      </c>
      <c r="B239" s="54" t="n">
        <f aca="false">EDATE('Start Here'!$B$8,234)</f>
        <v>53448</v>
      </c>
      <c r="C239" s="42" t="n">
        <f aca="false">SUM(F239:O239)</f>
        <v>0</v>
      </c>
      <c r="D239" s="42" t="n">
        <f aca="false">ROUND(SUM($Z239:$AI239)-SUM(P238:Y238),2)</f>
        <v>0</v>
      </c>
      <c r="E239" s="55" t="n">
        <f aca="false">SUM(P239:Y239)</f>
        <v>0</v>
      </c>
      <c r="F239" s="42" t="n">
        <f aca="false">AJ239+MIN(Z239-AJ239,MAX(0,'Start Here'!$B$10-SUM($AJ239:$AS239)-SUMPRODUCT(($Z$3:$AI$3&lt;Z$3)*($Z239:$AI239-$AJ239:$AS239))))</f>
        <v>0</v>
      </c>
      <c r="G239" s="42" t="n">
        <f aca="false">AK239+MIN(AA239-AK239,MAX(0,'Start Here'!$B$10-SUM($AJ239:$AS239)-SUMPRODUCT(($Z$3:$AI$3&lt;AA$3)*($Z239:$AI239-$AJ239:$AS239))))</f>
        <v>0</v>
      </c>
      <c r="H239" s="42" t="n">
        <f aca="false">AL239+MIN(AB239-AL239,MAX(0,'Start Here'!$B$10-SUM($AJ239:$AS239)-SUMPRODUCT(($Z$3:$AI$3&lt;AB$3)*($Z239:$AI239-$AJ239:$AS239))))</f>
        <v>0</v>
      </c>
      <c r="I239" s="42" t="n">
        <f aca="false">AM239+MIN(AC239-AM239,MAX(0,'Start Here'!$B$10-SUM($AJ239:$AS239)-SUMPRODUCT(($Z$3:$AI$3&lt;AC$3)*($Z239:$AI239-$AJ239:$AS239))))</f>
        <v>0</v>
      </c>
      <c r="J239" s="42" t="n">
        <f aca="false">AN239+MIN(AD239-AN239,MAX(0,'Start Here'!$B$10-SUM($AJ239:$AS239)-SUMPRODUCT(($Z$3:$AI$3&lt;AD$3)*($Z239:$AI239-$AJ239:$AS239))))</f>
        <v>0</v>
      </c>
      <c r="K239" s="42" t="n">
        <f aca="false">AO239+MIN(AE239-AO239,MAX(0,'Start Here'!$B$10-SUM($AJ239:$AS239)-SUMPRODUCT(($Z$3:$AI$3&lt;AE$3)*($Z239:$AI239-$AJ239:$AS239))))</f>
        <v>0</v>
      </c>
      <c r="L239" s="42" t="n">
        <f aca="false">AP239+MIN(AF239-AP239,MAX(0,'Start Here'!$B$10-SUM($AJ239:$AS239)-SUMPRODUCT(($Z$3:$AI$3&lt;AF$3)*($Z239:$AI239-$AJ239:$AS239))))</f>
        <v>0</v>
      </c>
      <c r="M239" s="42" t="n">
        <f aca="false">AQ239+MIN(AG239-AQ239,MAX(0,'Start Here'!$B$10-SUM($AJ239:$AS239)-SUMPRODUCT(($Z$3:$AI$3&lt;AG$3)*($Z239:$AI239-$AJ239:$AS239))))</f>
        <v>0</v>
      </c>
      <c r="N239" s="42" t="n">
        <f aca="false">AR239+MIN(AH239-AR239,MAX(0,'Start Here'!$B$10-SUM($AJ239:$AS239)-SUMPRODUCT(($Z$3:$AI$3&lt;AH$3)*($Z239:$AI239-$AJ239:$AS239))))</f>
        <v>0</v>
      </c>
      <c r="O239" s="42" t="n">
        <f aca="false">AS239+MIN(AI239-AS239,MAX(0,'Start Here'!$B$10-SUM($AJ239:$AS239)-SUMPRODUCT(($Z$3:$AI$3&lt;AI$3)*($Z239:$AI239-$AJ239:$AS239))))</f>
        <v>0</v>
      </c>
      <c r="P239" s="42" t="n">
        <f aca="false">ROUND(Z239-F239,2)</f>
        <v>0</v>
      </c>
      <c r="Q239" s="42" t="n">
        <f aca="false">ROUND(AA239-G239,2)</f>
        <v>0</v>
      </c>
      <c r="R239" s="42" t="n">
        <f aca="false">ROUND(AB239-H239,2)</f>
        <v>0</v>
      </c>
      <c r="S239" s="42" t="n">
        <f aca="false">ROUND(AC239-I239,2)</f>
        <v>0</v>
      </c>
      <c r="T239" s="42" t="n">
        <f aca="false">ROUND(AD239-J239,2)</f>
        <v>0</v>
      </c>
      <c r="U239" s="42" t="n">
        <f aca="false">ROUND(AE239-K239,2)</f>
        <v>0</v>
      </c>
      <c r="V239" s="42" t="n">
        <f aca="false">ROUND(AF239-L239,2)</f>
        <v>0</v>
      </c>
      <c r="W239" s="42" t="n">
        <f aca="false">ROUND(AG239-M239,2)</f>
        <v>0</v>
      </c>
      <c r="X239" s="42" t="n">
        <f aca="false">ROUND(AH239-N239,2)</f>
        <v>0</v>
      </c>
      <c r="Y239" s="42" t="n">
        <f aca="false">ROUND(AI239-O239,2)</f>
        <v>0</v>
      </c>
      <c r="Z239" s="56" t="n">
        <f aca="false">ROUND(P238*(1+N(Debts!$D$5)/12),2)</f>
        <v>0</v>
      </c>
      <c r="AA239" s="56" t="n">
        <f aca="false">ROUND(Q238*(1+N(Debts!$D$6)/12),2)</f>
        <v>0</v>
      </c>
      <c r="AB239" s="56" t="n">
        <f aca="false">ROUND(R238*(1+N(Debts!$D$7)/12),2)</f>
        <v>0</v>
      </c>
      <c r="AC239" s="56" t="n">
        <f aca="false">ROUND(S238*(1+N(Debts!$D$8)/12),2)</f>
        <v>0</v>
      </c>
      <c r="AD239" s="56" t="n">
        <f aca="false">ROUND(T238*(1+N(Debts!$D$9)/12),2)</f>
        <v>0</v>
      </c>
      <c r="AE239" s="56" t="n">
        <f aca="false">ROUND(U238*(1+N(Debts!$D$10)/12),2)</f>
        <v>0</v>
      </c>
      <c r="AF239" s="56" t="n">
        <f aca="false">ROUND(V238*(1+N(Debts!$D$11)/12),2)</f>
        <v>0</v>
      </c>
      <c r="AG239" s="56" t="n">
        <f aca="false">ROUND(W238*(1+N(Debts!$D$12)/12),2)</f>
        <v>0</v>
      </c>
      <c r="AH239" s="56" t="n">
        <f aca="false">ROUND(X238*(1+N(Debts!$D$13)/12),2)</f>
        <v>0</v>
      </c>
      <c r="AI239" s="56" t="n">
        <f aca="false">ROUND(Y238*(1+N(Debts!$D$14)/12),2)</f>
        <v>0</v>
      </c>
      <c r="AJ239" s="56" t="n">
        <f aca="false">MIN(Z239,MAX(0,N(Debts!$E$5)))</f>
        <v>0</v>
      </c>
      <c r="AK239" s="56" t="n">
        <f aca="false">MIN(AA239,MAX(0,N(Debts!$E$6)))</f>
        <v>0</v>
      </c>
      <c r="AL239" s="56" t="n">
        <f aca="false">MIN(AB239,MAX(0,N(Debts!$E$7)))</f>
        <v>0</v>
      </c>
      <c r="AM239" s="56" t="n">
        <f aca="false">MIN(AC239,MAX(0,N(Debts!$E$8)))</f>
        <v>0</v>
      </c>
      <c r="AN239" s="56" t="n">
        <f aca="false">MIN(AD239,MAX(0,N(Debts!$E$9)))</f>
        <v>0</v>
      </c>
      <c r="AO239" s="56" t="n">
        <f aca="false">MIN(AE239,MAX(0,N(Debts!$E$10)))</f>
        <v>0</v>
      </c>
      <c r="AP239" s="56" t="n">
        <f aca="false">MIN(AF239,MAX(0,N(Debts!$E$11)))</f>
        <v>0</v>
      </c>
      <c r="AQ239" s="56" t="n">
        <f aca="false">MIN(AG239,MAX(0,N(Debts!$E$12)))</f>
        <v>0</v>
      </c>
      <c r="AR239" s="56" t="n">
        <f aca="false">MIN(AH239,MAX(0,N(Debts!$E$13)))</f>
        <v>0</v>
      </c>
      <c r="AS239" s="56" t="n">
        <f aca="false">MIN(AI239,MAX(0,N(Debts!$E$14)))</f>
        <v>0</v>
      </c>
    </row>
    <row r="240" customFormat="false" ht="15" hidden="false" customHeight="false" outlineLevel="0" collapsed="false">
      <c r="A240" s="53" t="n">
        <v>236</v>
      </c>
      <c r="B240" s="54" t="n">
        <f aca="false">EDATE('Start Here'!$B$8,235)</f>
        <v>53479</v>
      </c>
      <c r="C240" s="42" t="n">
        <f aca="false">SUM(F240:O240)</f>
        <v>0</v>
      </c>
      <c r="D240" s="42" t="n">
        <f aca="false">ROUND(SUM($Z240:$AI240)-SUM(P239:Y239),2)</f>
        <v>0</v>
      </c>
      <c r="E240" s="55" t="n">
        <f aca="false">SUM(P240:Y240)</f>
        <v>0</v>
      </c>
      <c r="F240" s="42" t="n">
        <f aca="false">AJ240+MIN(Z240-AJ240,MAX(0,'Start Here'!$B$10-SUM($AJ240:$AS240)-SUMPRODUCT(($Z$3:$AI$3&lt;Z$3)*($Z240:$AI240-$AJ240:$AS240))))</f>
        <v>0</v>
      </c>
      <c r="G240" s="42" t="n">
        <f aca="false">AK240+MIN(AA240-AK240,MAX(0,'Start Here'!$B$10-SUM($AJ240:$AS240)-SUMPRODUCT(($Z$3:$AI$3&lt;AA$3)*($Z240:$AI240-$AJ240:$AS240))))</f>
        <v>0</v>
      </c>
      <c r="H240" s="42" t="n">
        <f aca="false">AL240+MIN(AB240-AL240,MAX(0,'Start Here'!$B$10-SUM($AJ240:$AS240)-SUMPRODUCT(($Z$3:$AI$3&lt;AB$3)*($Z240:$AI240-$AJ240:$AS240))))</f>
        <v>0</v>
      </c>
      <c r="I240" s="42" t="n">
        <f aca="false">AM240+MIN(AC240-AM240,MAX(0,'Start Here'!$B$10-SUM($AJ240:$AS240)-SUMPRODUCT(($Z$3:$AI$3&lt;AC$3)*($Z240:$AI240-$AJ240:$AS240))))</f>
        <v>0</v>
      </c>
      <c r="J240" s="42" t="n">
        <f aca="false">AN240+MIN(AD240-AN240,MAX(0,'Start Here'!$B$10-SUM($AJ240:$AS240)-SUMPRODUCT(($Z$3:$AI$3&lt;AD$3)*($Z240:$AI240-$AJ240:$AS240))))</f>
        <v>0</v>
      </c>
      <c r="K240" s="42" t="n">
        <f aca="false">AO240+MIN(AE240-AO240,MAX(0,'Start Here'!$B$10-SUM($AJ240:$AS240)-SUMPRODUCT(($Z$3:$AI$3&lt;AE$3)*($Z240:$AI240-$AJ240:$AS240))))</f>
        <v>0</v>
      </c>
      <c r="L240" s="42" t="n">
        <f aca="false">AP240+MIN(AF240-AP240,MAX(0,'Start Here'!$B$10-SUM($AJ240:$AS240)-SUMPRODUCT(($Z$3:$AI$3&lt;AF$3)*($Z240:$AI240-$AJ240:$AS240))))</f>
        <v>0</v>
      </c>
      <c r="M240" s="42" t="n">
        <f aca="false">AQ240+MIN(AG240-AQ240,MAX(0,'Start Here'!$B$10-SUM($AJ240:$AS240)-SUMPRODUCT(($Z$3:$AI$3&lt;AG$3)*($Z240:$AI240-$AJ240:$AS240))))</f>
        <v>0</v>
      </c>
      <c r="N240" s="42" t="n">
        <f aca="false">AR240+MIN(AH240-AR240,MAX(0,'Start Here'!$B$10-SUM($AJ240:$AS240)-SUMPRODUCT(($Z$3:$AI$3&lt;AH$3)*($Z240:$AI240-$AJ240:$AS240))))</f>
        <v>0</v>
      </c>
      <c r="O240" s="42" t="n">
        <f aca="false">AS240+MIN(AI240-AS240,MAX(0,'Start Here'!$B$10-SUM($AJ240:$AS240)-SUMPRODUCT(($Z$3:$AI$3&lt;AI$3)*($Z240:$AI240-$AJ240:$AS240))))</f>
        <v>0</v>
      </c>
      <c r="P240" s="42" t="n">
        <f aca="false">ROUND(Z240-F240,2)</f>
        <v>0</v>
      </c>
      <c r="Q240" s="42" t="n">
        <f aca="false">ROUND(AA240-G240,2)</f>
        <v>0</v>
      </c>
      <c r="R240" s="42" t="n">
        <f aca="false">ROUND(AB240-H240,2)</f>
        <v>0</v>
      </c>
      <c r="S240" s="42" t="n">
        <f aca="false">ROUND(AC240-I240,2)</f>
        <v>0</v>
      </c>
      <c r="T240" s="42" t="n">
        <f aca="false">ROUND(AD240-J240,2)</f>
        <v>0</v>
      </c>
      <c r="U240" s="42" t="n">
        <f aca="false">ROUND(AE240-K240,2)</f>
        <v>0</v>
      </c>
      <c r="V240" s="42" t="n">
        <f aca="false">ROUND(AF240-L240,2)</f>
        <v>0</v>
      </c>
      <c r="W240" s="42" t="n">
        <f aca="false">ROUND(AG240-M240,2)</f>
        <v>0</v>
      </c>
      <c r="X240" s="42" t="n">
        <f aca="false">ROUND(AH240-N240,2)</f>
        <v>0</v>
      </c>
      <c r="Y240" s="42" t="n">
        <f aca="false">ROUND(AI240-O240,2)</f>
        <v>0</v>
      </c>
      <c r="Z240" s="56" t="n">
        <f aca="false">ROUND(P239*(1+N(Debts!$D$5)/12),2)</f>
        <v>0</v>
      </c>
      <c r="AA240" s="56" t="n">
        <f aca="false">ROUND(Q239*(1+N(Debts!$D$6)/12),2)</f>
        <v>0</v>
      </c>
      <c r="AB240" s="56" t="n">
        <f aca="false">ROUND(R239*(1+N(Debts!$D$7)/12),2)</f>
        <v>0</v>
      </c>
      <c r="AC240" s="56" t="n">
        <f aca="false">ROUND(S239*(1+N(Debts!$D$8)/12),2)</f>
        <v>0</v>
      </c>
      <c r="AD240" s="56" t="n">
        <f aca="false">ROUND(T239*(1+N(Debts!$D$9)/12),2)</f>
        <v>0</v>
      </c>
      <c r="AE240" s="56" t="n">
        <f aca="false">ROUND(U239*(1+N(Debts!$D$10)/12),2)</f>
        <v>0</v>
      </c>
      <c r="AF240" s="56" t="n">
        <f aca="false">ROUND(V239*(1+N(Debts!$D$11)/12),2)</f>
        <v>0</v>
      </c>
      <c r="AG240" s="56" t="n">
        <f aca="false">ROUND(W239*(1+N(Debts!$D$12)/12),2)</f>
        <v>0</v>
      </c>
      <c r="AH240" s="56" t="n">
        <f aca="false">ROUND(X239*(1+N(Debts!$D$13)/12),2)</f>
        <v>0</v>
      </c>
      <c r="AI240" s="56" t="n">
        <f aca="false">ROUND(Y239*(1+N(Debts!$D$14)/12),2)</f>
        <v>0</v>
      </c>
      <c r="AJ240" s="56" t="n">
        <f aca="false">MIN(Z240,MAX(0,N(Debts!$E$5)))</f>
        <v>0</v>
      </c>
      <c r="AK240" s="56" t="n">
        <f aca="false">MIN(AA240,MAX(0,N(Debts!$E$6)))</f>
        <v>0</v>
      </c>
      <c r="AL240" s="56" t="n">
        <f aca="false">MIN(AB240,MAX(0,N(Debts!$E$7)))</f>
        <v>0</v>
      </c>
      <c r="AM240" s="56" t="n">
        <f aca="false">MIN(AC240,MAX(0,N(Debts!$E$8)))</f>
        <v>0</v>
      </c>
      <c r="AN240" s="56" t="n">
        <f aca="false">MIN(AD240,MAX(0,N(Debts!$E$9)))</f>
        <v>0</v>
      </c>
      <c r="AO240" s="56" t="n">
        <f aca="false">MIN(AE240,MAX(0,N(Debts!$E$10)))</f>
        <v>0</v>
      </c>
      <c r="AP240" s="56" t="n">
        <f aca="false">MIN(AF240,MAX(0,N(Debts!$E$11)))</f>
        <v>0</v>
      </c>
      <c r="AQ240" s="56" t="n">
        <f aca="false">MIN(AG240,MAX(0,N(Debts!$E$12)))</f>
        <v>0</v>
      </c>
      <c r="AR240" s="56" t="n">
        <f aca="false">MIN(AH240,MAX(0,N(Debts!$E$13)))</f>
        <v>0</v>
      </c>
      <c r="AS240" s="56" t="n">
        <f aca="false">MIN(AI240,MAX(0,N(Debts!$E$14)))</f>
        <v>0</v>
      </c>
    </row>
    <row r="241" customFormat="false" ht="15" hidden="false" customHeight="false" outlineLevel="0" collapsed="false">
      <c r="A241" s="53" t="n">
        <v>237</v>
      </c>
      <c r="B241" s="54" t="n">
        <f aca="false">EDATE('Start Here'!$B$8,236)</f>
        <v>53509</v>
      </c>
      <c r="C241" s="42" t="n">
        <f aca="false">SUM(F241:O241)</f>
        <v>0</v>
      </c>
      <c r="D241" s="42" t="n">
        <f aca="false">ROUND(SUM($Z241:$AI241)-SUM(P240:Y240),2)</f>
        <v>0</v>
      </c>
      <c r="E241" s="55" t="n">
        <f aca="false">SUM(P241:Y241)</f>
        <v>0</v>
      </c>
      <c r="F241" s="42" t="n">
        <f aca="false">AJ241+MIN(Z241-AJ241,MAX(0,'Start Here'!$B$10-SUM($AJ241:$AS241)-SUMPRODUCT(($Z$3:$AI$3&lt;Z$3)*($Z241:$AI241-$AJ241:$AS241))))</f>
        <v>0</v>
      </c>
      <c r="G241" s="42" t="n">
        <f aca="false">AK241+MIN(AA241-AK241,MAX(0,'Start Here'!$B$10-SUM($AJ241:$AS241)-SUMPRODUCT(($Z$3:$AI$3&lt;AA$3)*($Z241:$AI241-$AJ241:$AS241))))</f>
        <v>0</v>
      </c>
      <c r="H241" s="42" t="n">
        <f aca="false">AL241+MIN(AB241-AL241,MAX(0,'Start Here'!$B$10-SUM($AJ241:$AS241)-SUMPRODUCT(($Z$3:$AI$3&lt;AB$3)*($Z241:$AI241-$AJ241:$AS241))))</f>
        <v>0</v>
      </c>
      <c r="I241" s="42" t="n">
        <f aca="false">AM241+MIN(AC241-AM241,MAX(0,'Start Here'!$B$10-SUM($AJ241:$AS241)-SUMPRODUCT(($Z$3:$AI$3&lt;AC$3)*($Z241:$AI241-$AJ241:$AS241))))</f>
        <v>0</v>
      </c>
      <c r="J241" s="42" t="n">
        <f aca="false">AN241+MIN(AD241-AN241,MAX(0,'Start Here'!$B$10-SUM($AJ241:$AS241)-SUMPRODUCT(($Z$3:$AI$3&lt;AD$3)*($Z241:$AI241-$AJ241:$AS241))))</f>
        <v>0</v>
      </c>
      <c r="K241" s="42" t="n">
        <f aca="false">AO241+MIN(AE241-AO241,MAX(0,'Start Here'!$B$10-SUM($AJ241:$AS241)-SUMPRODUCT(($Z$3:$AI$3&lt;AE$3)*($Z241:$AI241-$AJ241:$AS241))))</f>
        <v>0</v>
      </c>
      <c r="L241" s="42" t="n">
        <f aca="false">AP241+MIN(AF241-AP241,MAX(0,'Start Here'!$B$10-SUM($AJ241:$AS241)-SUMPRODUCT(($Z$3:$AI$3&lt;AF$3)*($Z241:$AI241-$AJ241:$AS241))))</f>
        <v>0</v>
      </c>
      <c r="M241" s="42" t="n">
        <f aca="false">AQ241+MIN(AG241-AQ241,MAX(0,'Start Here'!$B$10-SUM($AJ241:$AS241)-SUMPRODUCT(($Z$3:$AI$3&lt;AG$3)*($Z241:$AI241-$AJ241:$AS241))))</f>
        <v>0</v>
      </c>
      <c r="N241" s="42" t="n">
        <f aca="false">AR241+MIN(AH241-AR241,MAX(0,'Start Here'!$B$10-SUM($AJ241:$AS241)-SUMPRODUCT(($Z$3:$AI$3&lt;AH$3)*($Z241:$AI241-$AJ241:$AS241))))</f>
        <v>0</v>
      </c>
      <c r="O241" s="42" t="n">
        <f aca="false">AS241+MIN(AI241-AS241,MAX(0,'Start Here'!$B$10-SUM($AJ241:$AS241)-SUMPRODUCT(($Z$3:$AI$3&lt;AI$3)*($Z241:$AI241-$AJ241:$AS241))))</f>
        <v>0</v>
      </c>
      <c r="P241" s="42" t="n">
        <f aca="false">ROUND(Z241-F241,2)</f>
        <v>0</v>
      </c>
      <c r="Q241" s="42" t="n">
        <f aca="false">ROUND(AA241-G241,2)</f>
        <v>0</v>
      </c>
      <c r="R241" s="42" t="n">
        <f aca="false">ROUND(AB241-H241,2)</f>
        <v>0</v>
      </c>
      <c r="S241" s="42" t="n">
        <f aca="false">ROUND(AC241-I241,2)</f>
        <v>0</v>
      </c>
      <c r="T241" s="42" t="n">
        <f aca="false">ROUND(AD241-J241,2)</f>
        <v>0</v>
      </c>
      <c r="U241" s="42" t="n">
        <f aca="false">ROUND(AE241-K241,2)</f>
        <v>0</v>
      </c>
      <c r="V241" s="42" t="n">
        <f aca="false">ROUND(AF241-L241,2)</f>
        <v>0</v>
      </c>
      <c r="W241" s="42" t="n">
        <f aca="false">ROUND(AG241-M241,2)</f>
        <v>0</v>
      </c>
      <c r="X241" s="42" t="n">
        <f aca="false">ROUND(AH241-N241,2)</f>
        <v>0</v>
      </c>
      <c r="Y241" s="42" t="n">
        <f aca="false">ROUND(AI241-O241,2)</f>
        <v>0</v>
      </c>
      <c r="Z241" s="56" t="n">
        <f aca="false">ROUND(P240*(1+N(Debts!$D$5)/12),2)</f>
        <v>0</v>
      </c>
      <c r="AA241" s="56" t="n">
        <f aca="false">ROUND(Q240*(1+N(Debts!$D$6)/12),2)</f>
        <v>0</v>
      </c>
      <c r="AB241" s="56" t="n">
        <f aca="false">ROUND(R240*(1+N(Debts!$D$7)/12),2)</f>
        <v>0</v>
      </c>
      <c r="AC241" s="56" t="n">
        <f aca="false">ROUND(S240*(1+N(Debts!$D$8)/12),2)</f>
        <v>0</v>
      </c>
      <c r="AD241" s="56" t="n">
        <f aca="false">ROUND(T240*(1+N(Debts!$D$9)/12),2)</f>
        <v>0</v>
      </c>
      <c r="AE241" s="56" t="n">
        <f aca="false">ROUND(U240*(1+N(Debts!$D$10)/12),2)</f>
        <v>0</v>
      </c>
      <c r="AF241" s="56" t="n">
        <f aca="false">ROUND(V240*(1+N(Debts!$D$11)/12),2)</f>
        <v>0</v>
      </c>
      <c r="AG241" s="56" t="n">
        <f aca="false">ROUND(W240*(1+N(Debts!$D$12)/12),2)</f>
        <v>0</v>
      </c>
      <c r="AH241" s="56" t="n">
        <f aca="false">ROUND(X240*(1+N(Debts!$D$13)/12),2)</f>
        <v>0</v>
      </c>
      <c r="AI241" s="56" t="n">
        <f aca="false">ROUND(Y240*(1+N(Debts!$D$14)/12),2)</f>
        <v>0</v>
      </c>
      <c r="AJ241" s="56" t="n">
        <f aca="false">MIN(Z241,MAX(0,N(Debts!$E$5)))</f>
        <v>0</v>
      </c>
      <c r="AK241" s="56" t="n">
        <f aca="false">MIN(AA241,MAX(0,N(Debts!$E$6)))</f>
        <v>0</v>
      </c>
      <c r="AL241" s="56" t="n">
        <f aca="false">MIN(AB241,MAX(0,N(Debts!$E$7)))</f>
        <v>0</v>
      </c>
      <c r="AM241" s="56" t="n">
        <f aca="false">MIN(AC241,MAX(0,N(Debts!$E$8)))</f>
        <v>0</v>
      </c>
      <c r="AN241" s="56" t="n">
        <f aca="false">MIN(AD241,MAX(0,N(Debts!$E$9)))</f>
        <v>0</v>
      </c>
      <c r="AO241" s="56" t="n">
        <f aca="false">MIN(AE241,MAX(0,N(Debts!$E$10)))</f>
        <v>0</v>
      </c>
      <c r="AP241" s="56" t="n">
        <f aca="false">MIN(AF241,MAX(0,N(Debts!$E$11)))</f>
        <v>0</v>
      </c>
      <c r="AQ241" s="56" t="n">
        <f aca="false">MIN(AG241,MAX(0,N(Debts!$E$12)))</f>
        <v>0</v>
      </c>
      <c r="AR241" s="56" t="n">
        <f aca="false">MIN(AH241,MAX(0,N(Debts!$E$13)))</f>
        <v>0</v>
      </c>
      <c r="AS241" s="56" t="n">
        <f aca="false">MIN(AI241,MAX(0,N(Debts!$E$14)))</f>
        <v>0</v>
      </c>
    </row>
    <row r="242" customFormat="false" ht="15" hidden="false" customHeight="false" outlineLevel="0" collapsed="false">
      <c r="A242" s="53" t="n">
        <v>238</v>
      </c>
      <c r="B242" s="54" t="n">
        <f aca="false">EDATE('Start Here'!$B$8,237)</f>
        <v>53540</v>
      </c>
      <c r="C242" s="42" t="n">
        <f aca="false">SUM(F242:O242)</f>
        <v>0</v>
      </c>
      <c r="D242" s="42" t="n">
        <f aca="false">ROUND(SUM($Z242:$AI242)-SUM(P241:Y241),2)</f>
        <v>0</v>
      </c>
      <c r="E242" s="55" t="n">
        <f aca="false">SUM(P242:Y242)</f>
        <v>0</v>
      </c>
      <c r="F242" s="42" t="n">
        <f aca="false">AJ242+MIN(Z242-AJ242,MAX(0,'Start Here'!$B$10-SUM($AJ242:$AS242)-SUMPRODUCT(($Z$3:$AI$3&lt;Z$3)*($Z242:$AI242-$AJ242:$AS242))))</f>
        <v>0</v>
      </c>
      <c r="G242" s="42" t="n">
        <f aca="false">AK242+MIN(AA242-AK242,MAX(0,'Start Here'!$B$10-SUM($AJ242:$AS242)-SUMPRODUCT(($Z$3:$AI$3&lt;AA$3)*($Z242:$AI242-$AJ242:$AS242))))</f>
        <v>0</v>
      </c>
      <c r="H242" s="42" t="n">
        <f aca="false">AL242+MIN(AB242-AL242,MAX(0,'Start Here'!$B$10-SUM($AJ242:$AS242)-SUMPRODUCT(($Z$3:$AI$3&lt;AB$3)*($Z242:$AI242-$AJ242:$AS242))))</f>
        <v>0</v>
      </c>
      <c r="I242" s="42" t="n">
        <f aca="false">AM242+MIN(AC242-AM242,MAX(0,'Start Here'!$B$10-SUM($AJ242:$AS242)-SUMPRODUCT(($Z$3:$AI$3&lt;AC$3)*($Z242:$AI242-$AJ242:$AS242))))</f>
        <v>0</v>
      </c>
      <c r="J242" s="42" t="n">
        <f aca="false">AN242+MIN(AD242-AN242,MAX(0,'Start Here'!$B$10-SUM($AJ242:$AS242)-SUMPRODUCT(($Z$3:$AI$3&lt;AD$3)*($Z242:$AI242-$AJ242:$AS242))))</f>
        <v>0</v>
      </c>
      <c r="K242" s="42" t="n">
        <f aca="false">AO242+MIN(AE242-AO242,MAX(0,'Start Here'!$B$10-SUM($AJ242:$AS242)-SUMPRODUCT(($Z$3:$AI$3&lt;AE$3)*($Z242:$AI242-$AJ242:$AS242))))</f>
        <v>0</v>
      </c>
      <c r="L242" s="42" t="n">
        <f aca="false">AP242+MIN(AF242-AP242,MAX(0,'Start Here'!$B$10-SUM($AJ242:$AS242)-SUMPRODUCT(($Z$3:$AI$3&lt;AF$3)*($Z242:$AI242-$AJ242:$AS242))))</f>
        <v>0</v>
      </c>
      <c r="M242" s="42" t="n">
        <f aca="false">AQ242+MIN(AG242-AQ242,MAX(0,'Start Here'!$B$10-SUM($AJ242:$AS242)-SUMPRODUCT(($Z$3:$AI$3&lt;AG$3)*($Z242:$AI242-$AJ242:$AS242))))</f>
        <v>0</v>
      </c>
      <c r="N242" s="42" t="n">
        <f aca="false">AR242+MIN(AH242-AR242,MAX(0,'Start Here'!$B$10-SUM($AJ242:$AS242)-SUMPRODUCT(($Z$3:$AI$3&lt;AH$3)*($Z242:$AI242-$AJ242:$AS242))))</f>
        <v>0</v>
      </c>
      <c r="O242" s="42" t="n">
        <f aca="false">AS242+MIN(AI242-AS242,MAX(0,'Start Here'!$B$10-SUM($AJ242:$AS242)-SUMPRODUCT(($Z$3:$AI$3&lt;AI$3)*($Z242:$AI242-$AJ242:$AS242))))</f>
        <v>0</v>
      </c>
      <c r="P242" s="42" t="n">
        <f aca="false">ROUND(Z242-F242,2)</f>
        <v>0</v>
      </c>
      <c r="Q242" s="42" t="n">
        <f aca="false">ROUND(AA242-G242,2)</f>
        <v>0</v>
      </c>
      <c r="R242" s="42" t="n">
        <f aca="false">ROUND(AB242-H242,2)</f>
        <v>0</v>
      </c>
      <c r="S242" s="42" t="n">
        <f aca="false">ROUND(AC242-I242,2)</f>
        <v>0</v>
      </c>
      <c r="T242" s="42" t="n">
        <f aca="false">ROUND(AD242-J242,2)</f>
        <v>0</v>
      </c>
      <c r="U242" s="42" t="n">
        <f aca="false">ROUND(AE242-K242,2)</f>
        <v>0</v>
      </c>
      <c r="V242" s="42" t="n">
        <f aca="false">ROUND(AF242-L242,2)</f>
        <v>0</v>
      </c>
      <c r="W242" s="42" t="n">
        <f aca="false">ROUND(AG242-M242,2)</f>
        <v>0</v>
      </c>
      <c r="X242" s="42" t="n">
        <f aca="false">ROUND(AH242-N242,2)</f>
        <v>0</v>
      </c>
      <c r="Y242" s="42" t="n">
        <f aca="false">ROUND(AI242-O242,2)</f>
        <v>0</v>
      </c>
      <c r="Z242" s="56" t="n">
        <f aca="false">ROUND(P241*(1+N(Debts!$D$5)/12),2)</f>
        <v>0</v>
      </c>
      <c r="AA242" s="56" t="n">
        <f aca="false">ROUND(Q241*(1+N(Debts!$D$6)/12),2)</f>
        <v>0</v>
      </c>
      <c r="AB242" s="56" t="n">
        <f aca="false">ROUND(R241*(1+N(Debts!$D$7)/12),2)</f>
        <v>0</v>
      </c>
      <c r="AC242" s="56" t="n">
        <f aca="false">ROUND(S241*(1+N(Debts!$D$8)/12),2)</f>
        <v>0</v>
      </c>
      <c r="AD242" s="56" t="n">
        <f aca="false">ROUND(T241*(1+N(Debts!$D$9)/12),2)</f>
        <v>0</v>
      </c>
      <c r="AE242" s="56" t="n">
        <f aca="false">ROUND(U241*(1+N(Debts!$D$10)/12),2)</f>
        <v>0</v>
      </c>
      <c r="AF242" s="56" t="n">
        <f aca="false">ROUND(V241*(1+N(Debts!$D$11)/12),2)</f>
        <v>0</v>
      </c>
      <c r="AG242" s="56" t="n">
        <f aca="false">ROUND(W241*(1+N(Debts!$D$12)/12),2)</f>
        <v>0</v>
      </c>
      <c r="AH242" s="56" t="n">
        <f aca="false">ROUND(X241*(1+N(Debts!$D$13)/12),2)</f>
        <v>0</v>
      </c>
      <c r="AI242" s="56" t="n">
        <f aca="false">ROUND(Y241*(1+N(Debts!$D$14)/12),2)</f>
        <v>0</v>
      </c>
      <c r="AJ242" s="56" t="n">
        <f aca="false">MIN(Z242,MAX(0,N(Debts!$E$5)))</f>
        <v>0</v>
      </c>
      <c r="AK242" s="56" t="n">
        <f aca="false">MIN(AA242,MAX(0,N(Debts!$E$6)))</f>
        <v>0</v>
      </c>
      <c r="AL242" s="56" t="n">
        <f aca="false">MIN(AB242,MAX(0,N(Debts!$E$7)))</f>
        <v>0</v>
      </c>
      <c r="AM242" s="56" t="n">
        <f aca="false">MIN(AC242,MAX(0,N(Debts!$E$8)))</f>
        <v>0</v>
      </c>
      <c r="AN242" s="56" t="n">
        <f aca="false">MIN(AD242,MAX(0,N(Debts!$E$9)))</f>
        <v>0</v>
      </c>
      <c r="AO242" s="56" t="n">
        <f aca="false">MIN(AE242,MAX(0,N(Debts!$E$10)))</f>
        <v>0</v>
      </c>
      <c r="AP242" s="56" t="n">
        <f aca="false">MIN(AF242,MAX(0,N(Debts!$E$11)))</f>
        <v>0</v>
      </c>
      <c r="AQ242" s="56" t="n">
        <f aca="false">MIN(AG242,MAX(0,N(Debts!$E$12)))</f>
        <v>0</v>
      </c>
      <c r="AR242" s="56" t="n">
        <f aca="false">MIN(AH242,MAX(0,N(Debts!$E$13)))</f>
        <v>0</v>
      </c>
      <c r="AS242" s="56" t="n">
        <f aca="false">MIN(AI242,MAX(0,N(Debts!$E$14)))</f>
        <v>0</v>
      </c>
    </row>
    <row r="243" customFormat="false" ht="15" hidden="false" customHeight="false" outlineLevel="0" collapsed="false">
      <c r="A243" s="53" t="n">
        <v>239</v>
      </c>
      <c r="B243" s="54" t="n">
        <f aca="false">EDATE('Start Here'!$B$8,238)</f>
        <v>53571</v>
      </c>
      <c r="C243" s="42" t="n">
        <f aca="false">SUM(F243:O243)</f>
        <v>0</v>
      </c>
      <c r="D243" s="42" t="n">
        <f aca="false">ROUND(SUM($Z243:$AI243)-SUM(P242:Y242),2)</f>
        <v>0</v>
      </c>
      <c r="E243" s="55" t="n">
        <f aca="false">SUM(P243:Y243)</f>
        <v>0</v>
      </c>
      <c r="F243" s="42" t="n">
        <f aca="false">AJ243+MIN(Z243-AJ243,MAX(0,'Start Here'!$B$10-SUM($AJ243:$AS243)-SUMPRODUCT(($Z$3:$AI$3&lt;Z$3)*($Z243:$AI243-$AJ243:$AS243))))</f>
        <v>0</v>
      </c>
      <c r="G243" s="42" t="n">
        <f aca="false">AK243+MIN(AA243-AK243,MAX(0,'Start Here'!$B$10-SUM($AJ243:$AS243)-SUMPRODUCT(($Z$3:$AI$3&lt;AA$3)*($Z243:$AI243-$AJ243:$AS243))))</f>
        <v>0</v>
      </c>
      <c r="H243" s="42" t="n">
        <f aca="false">AL243+MIN(AB243-AL243,MAX(0,'Start Here'!$B$10-SUM($AJ243:$AS243)-SUMPRODUCT(($Z$3:$AI$3&lt;AB$3)*($Z243:$AI243-$AJ243:$AS243))))</f>
        <v>0</v>
      </c>
      <c r="I243" s="42" t="n">
        <f aca="false">AM243+MIN(AC243-AM243,MAX(0,'Start Here'!$B$10-SUM($AJ243:$AS243)-SUMPRODUCT(($Z$3:$AI$3&lt;AC$3)*($Z243:$AI243-$AJ243:$AS243))))</f>
        <v>0</v>
      </c>
      <c r="J243" s="42" t="n">
        <f aca="false">AN243+MIN(AD243-AN243,MAX(0,'Start Here'!$B$10-SUM($AJ243:$AS243)-SUMPRODUCT(($Z$3:$AI$3&lt;AD$3)*($Z243:$AI243-$AJ243:$AS243))))</f>
        <v>0</v>
      </c>
      <c r="K243" s="42" t="n">
        <f aca="false">AO243+MIN(AE243-AO243,MAX(0,'Start Here'!$B$10-SUM($AJ243:$AS243)-SUMPRODUCT(($Z$3:$AI$3&lt;AE$3)*($Z243:$AI243-$AJ243:$AS243))))</f>
        <v>0</v>
      </c>
      <c r="L243" s="42" t="n">
        <f aca="false">AP243+MIN(AF243-AP243,MAX(0,'Start Here'!$B$10-SUM($AJ243:$AS243)-SUMPRODUCT(($Z$3:$AI$3&lt;AF$3)*($Z243:$AI243-$AJ243:$AS243))))</f>
        <v>0</v>
      </c>
      <c r="M243" s="42" t="n">
        <f aca="false">AQ243+MIN(AG243-AQ243,MAX(0,'Start Here'!$B$10-SUM($AJ243:$AS243)-SUMPRODUCT(($Z$3:$AI$3&lt;AG$3)*($Z243:$AI243-$AJ243:$AS243))))</f>
        <v>0</v>
      </c>
      <c r="N243" s="42" t="n">
        <f aca="false">AR243+MIN(AH243-AR243,MAX(0,'Start Here'!$B$10-SUM($AJ243:$AS243)-SUMPRODUCT(($Z$3:$AI$3&lt;AH$3)*($Z243:$AI243-$AJ243:$AS243))))</f>
        <v>0</v>
      </c>
      <c r="O243" s="42" t="n">
        <f aca="false">AS243+MIN(AI243-AS243,MAX(0,'Start Here'!$B$10-SUM($AJ243:$AS243)-SUMPRODUCT(($Z$3:$AI$3&lt;AI$3)*($Z243:$AI243-$AJ243:$AS243))))</f>
        <v>0</v>
      </c>
      <c r="P243" s="42" t="n">
        <f aca="false">ROUND(Z243-F243,2)</f>
        <v>0</v>
      </c>
      <c r="Q243" s="42" t="n">
        <f aca="false">ROUND(AA243-G243,2)</f>
        <v>0</v>
      </c>
      <c r="R243" s="42" t="n">
        <f aca="false">ROUND(AB243-H243,2)</f>
        <v>0</v>
      </c>
      <c r="S243" s="42" t="n">
        <f aca="false">ROUND(AC243-I243,2)</f>
        <v>0</v>
      </c>
      <c r="T243" s="42" t="n">
        <f aca="false">ROUND(AD243-J243,2)</f>
        <v>0</v>
      </c>
      <c r="U243" s="42" t="n">
        <f aca="false">ROUND(AE243-K243,2)</f>
        <v>0</v>
      </c>
      <c r="V243" s="42" t="n">
        <f aca="false">ROUND(AF243-L243,2)</f>
        <v>0</v>
      </c>
      <c r="W243" s="42" t="n">
        <f aca="false">ROUND(AG243-M243,2)</f>
        <v>0</v>
      </c>
      <c r="X243" s="42" t="n">
        <f aca="false">ROUND(AH243-N243,2)</f>
        <v>0</v>
      </c>
      <c r="Y243" s="42" t="n">
        <f aca="false">ROUND(AI243-O243,2)</f>
        <v>0</v>
      </c>
      <c r="Z243" s="56" t="n">
        <f aca="false">ROUND(P242*(1+N(Debts!$D$5)/12),2)</f>
        <v>0</v>
      </c>
      <c r="AA243" s="56" t="n">
        <f aca="false">ROUND(Q242*(1+N(Debts!$D$6)/12),2)</f>
        <v>0</v>
      </c>
      <c r="AB243" s="56" t="n">
        <f aca="false">ROUND(R242*(1+N(Debts!$D$7)/12),2)</f>
        <v>0</v>
      </c>
      <c r="AC243" s="56" t="n">
        <f aca="false">ROUND(S242*(1+N(Debts!$D$8)/12),2)</f>
        <v>0</v>
      </c>
      <c r="AD243" s="56" t="n">
        <f aca="false">ROUND(T242*(1+N(Debts!$D$9)/12),2)</f>
        <v>0</v>
      </c>
      <c r="AE243" s="56" t="n">
        <f aca="false">ROUND(U242*(1+N(Debts!$D$10)/12),2)</f>
        <v>0</v>
      </c>
      <c r="AF243" s="56" t="n">
        <f aca="false">ROUND(V242*(1+N(Debts!$D$11)/12),2)</f>
        <v>0</v>
      </c>
      <c r="AG243" s="56" t="n">
        <f aca="false">ROUND(W242*(1+N(Debts!$D$12)/12),2)</f>
        <v>0</v>
      </c>
      <c r="AH243" s="56" t="n">
        <f aca="false">ROUND(X242*(1+N(Debts!$D$13)/12),2)</f>
        <v>0</v>
      </c>
      <c r="AI243" s="56" t="n">
        <f aca="false">ROUND(Y242*(1+N(Debts!$D$14)/12),2)</f>
        <v>0</v>
      </c>
      <c r="AJ243" s="56" t="n">
        <f aca="false">MIN(Z243,MAX(0,N(Debts!$E$5)))</f>
        <v>0</v>
      </c>
      <c r="AK243" s="56" t="n">
        <f aca="false">MIN(AA243,MAX(0,N(Debts!$E$6)))</f>
        <v>0</v>
      </c>
      <c r="AL243" s="56" t="n">
        <f aca="false">MIN(AB243,MAX(0,N(Debts!$E$7)))</f>
        <v>0</v>
      </c>
      <c r="AM243" s="56" t="n">
        <f aca="false">MIN(AC243,MAX(0,N(Debts!$E$8)))</f>
        <v>0</v>
      </c>
      <c r="AN243" s="56" t="n">
        <f aca="false">MIN(AD243,MAX(0,N(Debts!$E$9)))</f>
        <v>0</v>
      </c>
      <c r="AO243" s="56" t="n">
        <f aca="false">MIN(AE243,MAX(0,N(Debts!$E$10)))</f>
        <v>0</v>
      </c>
      <c r="AP243" s="56" t="n">
        <f aca="false">MIN(AF243,MAX(0,N(Debts!$E$11)))</f>
        <v>0</v>
      </c>
      <c r="AQ243" s="56" t="n">
        <f aca="false">MIN(AG243,MAX(0,N(Debts!$E$12)))</f>
        <v>0</v>
      </c>
      <c r="AR243" s="56" t="n">
        <f aca="false">MIN(AH243,MAX(0,N(Debts!$E$13)))</f>
        <v>0</v>
      </c>
      <c r="AS243" s="56" t="n">
        <f aca="false">MIN(AI243,MAX(0,N(Debts!$E$14)))</f>
        <v>0</v>
      </c>
    </row>
    <row r="244" customFormat="false" ht="15" hidden="false" customHeight="false" outlineLevel="0" collapsed="false">
      <c r="A244" s="53" t="n">
        <v>240</v>
      </c>
      <c r="B244" s="54" t="n">
        <f aca="false">EDATE('Start Here'!$B$8,239)</f>
        <v>53601</v>
      </c>
      <c r="C244" s="42" t="n">
        <f aca="false">SUM(F244:O244)</f>
        <v>0</v>
      </c>
      <c r="D244" s="42" t="n">
        <f aca="false">ROUND(SUM($Z244:$AI244)-SUM(P243:Y243),2)</f>
        <v>0</v>
      </c>
      <c r="E244" s="55" t="n">
        <f aca="false">SUM(P244:Y244)</f>
        <v>0</v>
      </c>
      <c r="F244" s="42" t="n">
        <f aca="false">AJ244+MIN(Z244-AJ244,MAX(0,'Start Here'!$B$10-SUM($AJ244:$AS244)-SUMPRODUCT(($Z$3:$AI$3&lt;Z$3)*($Z244:$AI244-$AJ244:$AS244))))</f>
        <v>0</v>
      </c>
      <c r="G244" s="42" t="n">
        <f aca="false">AK244+MIN(AA244-AK244,MAX(0,'Start Here'!$B$10-SUM($AJ244:$AS244)-SUMPRODUCT(($Z$3:$AI$3&lt;AA$3)*($Z244:$AI244-$AJ244:$AS244))))</f>
        <v>0</v>
      </c>
      <c r="H244" s="42" t="n">
        <f aca="false">AL244+MIN(AB244-AL244,MAX(0,'Start Here'!$B$10-SUM($AJ244:$AS244)-SUMPRODUCT(($Z$3:$AI$3&lt;AB$3)*($Z244:$AI244-$AJ244:$AS244))))</f>
        <v>0</v>
      </c>
      <c r="I244" s="42" t="n">
        <f aca="false">AM244+MIN(AC244-AM244,MAX(0,'Start Here'!$B$10-SUM($AJ244:$AS244)-SUMPRODUCT(($Z$3:$AI$3&lt;AC$3)*($Z244:$AI244-$AJ244:$AS244))))</f>
        <v>0</v>
      </c>
      <c r="J244" s="42" t="n">
        <f aca="false">AN244+MIN(AD244-AN244,MAX(0,'Start Here'!$B$10-SUM($AJ244:$AS244)-SUMPRODUCT(($Z$3:$AI$3&lt;AD$3)*($Z244:$AI244-$AJ244:$AS244))))</f>
        <v>0</v>
      </c>
      <c r="K244" s="42" t="n">
        <f aca="false">AO244+MIN(AE244-AO244,MAX(0,'Start Here'!$B$10-SUM($AJ244:$AS244)-SUMPRODUCT(($Z$3:$AI$3&lt;AE$3)*($Z244:$AI244-$AJ244:$AS244))))</f>
        <v>0</v>
      </c>
      <c r="L244" s="42" t="n">
        <f aca="false">AP244+MIN(AF244-AP244,MAX(0,'Start Here'!$B$10-SUM($AJ244:$AS244)-SUMPRODUCT(($Z$3:$AI$3&lt;AF$3)*($Z244:$AI244-$AJ244:$AS244))))</f>
        <v>0</v>
      </c>
      <c r="M244" s="42" t="n">
        <f aca="false">AQ244+MIN(AG244-AQ244,MAX(0,'Start Here'!$B$10-SUM($AJ244:$AS244)-SUMPRODUCT(($Z$3:$AI$3&lt;AG$3)*($Z244:$AI244-$AJ244:$AS244))))</f>
        <v>0</v>
      </c>
      <c r="N244" s="42" t="n">
        <f aca="false">AR244+MIN(AH244-AR244,MAX(0,'Start Here'!$B$10-SUM($AJ244:$AS244)-SUMPRODUCT(($Z$3:$AI$3&lt;AH$3)*($Z244:$AI244-$AJ244:$AS244))))</f>
        <v>0</v>
      </c>
      <c r="O244" s="42" t="n">
        <f aca="false">AS244+MIN(AI244-AS244,MAX(0,'Start Here'!$B$10-SUM($AJ244:$AS244)-SUMPRODUCT(($Z$3:$AI$3&lt;AI$3)*($Z244:$AI244-$AJ244:$AS244))))</f>
        <v>0</v>
      </c>
      <c r="P244" s="42" t="n">
        <f aca="false">ROUND(Z244-F244,2)</f>
        <v>0</v>
      </c>
      <c r="Q244" s="42" t="n">
        <f aca="false">ROUND(AA244-G244,2)</f>
        <v>0</v>
      </c>
      <c r="R244" s="42" t="n">
        <f aca="false">ROUND(AB244-H244,2)</f>
        <v>0</v>
      </c>
      <c r="S244" s="42" t="n">
        <f aca="false">ROUND(AC244-I244,2)</f>
        <v>0</v>
      </c>
      <c r="T244" s="42" t="n">
        <f aca="false">ROUND(AD244-J244,2)</f>
        <v>0</v>
      </c>
      <c r="U244" s="42" t="n">
        <f aca="false">ROUND(AE244-K244,2)</f>
        <v>0</v>
      </c>
      <c r="V244" s="42" t="n">
        <f aca="false">ROUND(AF244-L244,2)</f>
        <v>0</v>
      </c>
      <c r="W244" s="42" t="n">
        <f aca="false">ROUND(AG244-M244,2)</f>
        <v>0</v>
      </c>
      <c r="X244" s="42" t="n">
        <f aca="false">ROUND(AH244-N244,2)</f>
        <v>0</v>
      </c>
      <c r="Y244" s="42" t="n">
        <f aca="false">ROUND(AI244-O244,2)</f>
        <v>0</v>
      </c>
      <c r="Z244" s="56" t="n">
        <f aca="false">ROUND(P243*(1+N(Debts!$D$5)/12),2)</f>
        <v>0</v>
      </c>
      <c r="AA244" s="56" t="n">
        <f aca="false">ROUND(Q243*(1+N(Debts!$D$6)/12),2)</f>
        <v>0</v>
      </c>
      <c r="AB244" s="56" t="n">
        <f aca="false">ROUND(R243*(1+N(Debts!$D$7)/12),2)</f>
        <v>0</v>
      </c>
      <c r="AC244" s="56" t="n">
        <f aca="false">ROUND(S243*(1+N(Debts!$D$8)/12),2)</f>
        <v>0</v>
      </c>
      <c r="AD244" s="56" t="n">
        <f aca="false">ROUND(T243*(1+N(Debts!$D$9)/12),2)</f>
        <v>0</v>
      </c>
      <c r="AE244" s="56" t="n">
        <f aca="false">ROUND(U243*(1+N(Debts!$D$10)/12),2)</f>
        <v>0</v>
      </c>
      <c r="AF244" s="56" t="n">
        <f aca="false">ROUND(V243*(1+N(Debts!$D$11)/12),2)</f>
        <v>0</v>
      </c>
      <c r="AG244" s="56" t="n">
        <f aca="false">ROUND(W243*(1+N(Debts!$D$12)/12),2)</f>
        <v>0</v>
      </c>
      <c r="AH244" s="56" t="n">
        <f aca="false">ROUND(X243*(1+N(Debts!$D$13)/12),2)</f>
        <v>0</v>
      </c>
      <c r="AI244" s="56" t="n">
        <f aca="false">ROUND(Y243*(1+N(Debts!$D$14)/12),2)</f>
        <v>0</v>
      </c>
      <c r="AJ244" s="56" t="n">
        <f aca="false">MIN(Z244,MAX(0,N(Debts!$E$5)))</f>
        <v>0</v>
      </c>
      <c r="AK244" s="56" t="n">
        <f aca="false">MIN(AA244,MAX(0,N(Debts!$E$6)))</f>
        <v>0</v>
      </c>
      <c r="AL244" s="56" t="n">
        <f aca="false">MIN(AB244,MAX(0,N(Debts!$E$7)))</f>
        <v>0</v>
      </c>
      <c r="AM244" s="56" t="n">
        <f aca="false">MIN(AC244,MAX(0,N(Debts!$E$8)))</f>
        <v>0</v>
      </c>
      <c r="AN244" s="56" t="n">
        <f aca="false">MIN(AD244,MAX(0,N(Debts!$E$9)))</f>
        <v>0</v>
      </c>
      <c r="AO244" s="56" t="n">
        <f aca="false">MIN(AE244,MAX(0,N(Debts!$E$10)))</f>
        <v>0</v>
      </c>
      <c r="AP244" s="56" t="n">
        <f aca="false">MIN(AF244,MAX(0,N(Debts!$E$11)))</f>
        <v>0</v>
      </c>
      <c r="AQ244" s="56" t="n">
        <f aca="false">MIN(AG244,MAX(0,N(Debts!$E$12)))</f>
        <v>0</v>
      </c>
      <c r="AR244" s="56" t="n">
        <f aca="false">MIN(AH244,MAX(0,N(Debts!$E$13)))</f>
        <v>0</v>
      </c>
      <c r="AS244" s="56" t="n">
        <f aca="false">MIN(AI244,MAX(0,N(Debts!$E$14)))</f>
        <v>0</v>
      </c>
    </row>
    <row r="245" customFormat="false" ht="15" hidden="false" customHeight="false" outlineLevel="0" collapsed="false">
      <c r="A245" s="53" t="n">
        <v>241</v>
      </c>
      <c r="B245" s="54" t="n">
        <f aca="false">EDATE('Start Here'!$B$8,240)</f>
        <v>53632</v>
      </c>
      <c r="C245" s="42" t="n">
        <f aca="false">SUM(F245:O245)</f>
        <v>0</v>
      </c>
      <c r="D245" s="42" t="n">
        <f aca="false">ROUND(SUM($Z245:$AI245)-SUM(P244:Y244),2)</f>
        <v>0</v>
      </c>
      <c r="E245" s="55" t="n">
        <f aca="false">SUM(P245:Y245)</f>
        <v>0</v>
      </c>
      <c r="F245" s="42" t="n">
        <f aca="false">AJ245+MIN(Z245-AJ245,MAX(0,'Start Here'!$B$10-SUM($AJ245:$AS245)-SUMPRODUCT(($Z$3:$AI$3&lt;Z$3)*($Z245:$AI245-$AJ245:$AS245))))</f>
        <v>0</v>
      </c>
      <c r="G245" s="42" t="n">
        <f aca="false">AK245+MIN(AA245-AK245,MAX(0,'Start Here'!$B$10-SUM($AJ245:$AS245)-SUMPRODUCT(($Z$3:$AI$3&lt;AA$3)*($Z245:$AI245-$AJ245:$AS245))))</f>
        <v>0</v>
      </c>
      <c r="H245" s="42" t="n">
        <f aca="false">AL245+MIN(AB245-AL245,MAX(0,'Start Here'!$B$10-SUM($AJ245:$AS245)-SUMPRODUCT(($Z$3:$AI$3&lt;AB$3)*($Z245:$AI245-$AJ245:$AS245))))</f>
        <v>0</v>
      </c>
      <c r="I245" s="42" t="n">
        <f aca="false">AM245+MIN(AC245-AM245,MAX(0,'Start Here'!$B$10-SUM($AJ245:$AS245)-SUMPRODUCT(($Z$3:$AI$3&lt;AC$3)*($Z245:$AI245-$AJ245:$AS245))))</f>
        <v>0</v>
      </c>
      <c r="J245" s="42" t="n">
        <f aca="false">AN245+MIN(AD245-AN245,MAX(0,'Start Here'!$B$10-SUM($AJ245:$AS245)-SUMPRODUCT(($Z$3:$AI$3&lt;AD$3)*($Z245:$AI245-$AJ245:$AS245))))</f>
        <v>0</v>
      </c>
      <c r="K245" s="42" t="n">
        <f aca="false">AO245+MIN(AE245-AO245,MAX(0,'Start Here'!$B$10-SUM($AJ245:$AS245)-SUMPRODUCT(($Z$3:$AI$3&lt;AE$3)*($Z245:$AI245-$AJ245:$AS245))))</f>
        <v>0</v>
      </c>
      <c r="L245" s="42" t="n">
        <f aca="false">AP245+MIN(AF245-AP245,MAX(0,'Start Here'!$B$10-SUM($AJ245:$AS245)-SUMPRODUCT(($Z$3:$AI$3&lt;AF$3)*($Z245:$AI245-$AJ245:$AS245))))</f>
        <v>0</v>
      </c>
      <c r="M245" s="42" t="n">
        <f aca="false">AQ245+MIN(AG245-AQ245,MAX(0,'Start Here'!$B$10-SUM($AJ245:$AS245)-SUMPRODUCT(($Z$3:$AI$3&lt;AG$3)*($Z245:$AI245-$AJ245:$AS245))))</f>
        <v>0</v>
      </c>
      <c r="N245" s="42" t="n">
        <f aca="false">AR245+MIN(AH245-AR245,MAX(0,'Start Here'!$B$10-SUM($AJ245:$AS245)-SUMPRODUCT(($Z$3:$AI$3&lt;AH$3)*($Z245:$AI245-$AJ245:$AS245))))</f>
        <v>0</v>
      </c>
      <c r="O245" s="42" t="n">
        <f aca="false">AS245+MIN(AI245-AS245,MAX(0,'Start Here'!$B$10-SUM($AJ245:$AS245)-SUMPRODUCT(($Z$3:$AI$3&lt;AI$3)*($Z245:$AI245-$AJ245:$AS245))))</f>
        <v>0</v>
      </c>
      <c r="P245" s="42" t="n">
        <f aca="false">ROUND(Z245-F245,2)</f>
        <v>0</v>
      </c>
      <c r="Q245" s="42" t="n">
        <f aca="false">ROUND(AA245-G245,2)</f>
        <v>0</v>
      </c>
      <c r="R245" s="42" t="n">
        <f aca="false">ROUND(AB245-H245,2)</f>
        <v>0</v>
      </c>
      <c r="S245" s="42" t="n">
        <f aca="false">ROUND(AC245-I245,2)</f>
        <v>0</v>
      </c>
      <c r="T245" s="42" t="n">
        <f aca="false">ROUND(AD245-J245,2)</f>
        <v>0</v>
      </c>
      <c r="U245" s="42" t="n">
        <f aca="false">ROUND(AE245-K245,2)</f>
        <v>0</v>
      </c>
      <c r="V245" s="42" t="n">
        <f aca="false">ROUND(AF245-L245,2)</f>
        <v>0</v>
      </c>
      <c r="W245" s="42" t="n">
        <f aca="false">ROUND(AG245-M245,2)</f>
        <v>0</v>
      </c>
      <c r="X245" s="42" t="n">
        <f aca="false">ROUND(AH245-N245,2)</f>
        <v>0</v>
      </c>
      <c r="Y245" s="42" t="n">
        <f aca="false">ROUND(AI245-O245,2)</f>
        <v>0</v>
      </c>
      <c r="Z245" s="56" t="n">
        <f aca="false">ROUND(P244*(1+N(Debts!$D$5)/12),2)</f>
        <v>0</v>
      </c>
      <c r="AA245" s="56" t="n">
        <f aca="false">ROUND(Q244*(1+N(Debts!$D$6)/12),2)</f>
        <v>0</v>
      </c>
      <c r="AB245" s="56" t="n">
        <f aca="false">ROUND(R244*(1+N(Debts!$D$7)/12),2)</f>
        <v>0</v>
      </c>
      <c r="AC245" s="56" t="n">
        <f aca="false">ROUND(S244*(1+N(Debts!$D$8)/12),2)</f>
        <v>0</v>
      </c>
      <c r="AD245" s="56" t="n">
        <f aca="false">ROUND(T244*(1+N(Debts!$D$9)/12),2)</f>
        <v>0</v>
      </c>
      <c r="AE245" s="56" t="n">
        <f aca="false">ROUND(U244*(1+N(Debts!$D$10)/12),2)</f>
        <v>0</v>
      </c>
      <c r="AF245" s="56" t="n">
        <f aca="false">ROUND(V244*(1+N(Debts!$D$11)/12),2)</f>
        <v>0</v>
      </c>
      <c r="AG245" s="56" t="n">
        <f aca="false">ROUND(W244*(1+N(Debts!$D$12)/12),2)</f>
        <v>0</v>
      </c>
      <c r="AH245" s="56" t="n">
        <f aca="false">ROUND(X244*(1+N(Debts!$D$13)/12),2)</f>
        <v>0</v>
      </c>
      <c r="AI245" s="56" t="n">
        <f aca="false">ROUND(Y244*(1+N(Debts!$D$14)/12),2)</f>
        <v>0</v>
      </c>
      <c r="AJ245" s="56" t="n">
        <f aca="false">MIN(Z245,MAX(0,N(Debts!$E$5)))</f>
        <v>0</v>
      </c>
      <c r="AK245" s="56" t="n">
        <f aca="false">MIN(AA245,MAX(0,N(Debts!$E$6)))</f>
        <v>0</v>
      </c>
      <c r="AL245" s="56" t="n">
        <f aca="false">MIN(AB245,MAX(0,N(Debts!$E$7)))</f>
        <v>0</v>
      </c>
      <c r="AM245" s="56" t="n">
        <f aca="false">MIN(AC245,MAX(0,N(Debts!$E$8)))</f>
        <v>0</v>
      </c>
      <c r="AN245" s="56" t="n">
        <f aca="false">MIN(AD245,MAX(0,N(Debts!$E$9)))</f>
        <v>0</v>
      </c>
      <c r="AO245" s="56" t="n">
        <f aca="false">MIN(AE245,MAX(0,N(Debts!$E$10)))</f>
        <v>0</v>
      </c>
      <c r="AP245" s="56" t="n">
        <f aca="false">MIN(AF245,MAX(0,N(Debts!$E$11)))</f>
        <v>0</v>
      </c>
      <c r="AQ245" s="56" t="n">
        <f aca="false">MIN(AG245,MAX(0,N(Debts!$E$12)))</f>
        <v>0</v>
      </c>
      <c r="AR245" s="56" t="n">
        <f aca="false">MIN(AH245,MAX(0,N(Debts!$E$13)))</f>
        <v>0</v>
      </c>
      <c r="AS245" s="56" t="n">
        <f aca="false">MIN(AI245,MAX(0,N(Debts!$E$14)))</f>
        <v>0</v>
      </c>
    </row>
    <row r="246" customFormat="false" ht="15" hidden="false" customHeight="false" outlineLevel="0" collapsed="false">
      <c r="A246" s="53" t="n">
        <v>242</v>
      </c>
      <c r="B246" s="54" t="n">
        <f aca="false">EDATE('Start Here'!$B$8,241)</f>
        <v>53662</v>
      </c>
      <c r="C246" s="42" t="n">
        <f aca="false">SUM(F246:O246)</f>
        <v>0</v>
      </c>
      <c r="D246" s="42" t="n">
        <f aca="false">ROUND(SUM($Z246:$AI246)-SUM(P245:Y245),2)</f>
        <v>0</v>
      </c>
      <c r="E246" s="55" t="n">
        <f aca="false">SUM(P246:Y246)</f>
        <v>0</v>
      </c>
      <c r="F246" s="42" t="n">
        <f aca="false">AJ246+MIN(Z246-AJ246,MAX(0,'Start Here'!$B$10-SUM($AJ246:$AS246)-SUMPRODUCT(($Z$3:$AI$3&lt;Z$3)*($Z246:$AI246-$AJ246:$AS246))))</f>
        <v>0</v>
      </c>
      <c r="G246" s="42" t="n">
        <f aca="false">AK246+MIN(AA246-AK246,MAX(0,'Start Here'!$B$10-SUM($AJ246:$AS246)-SUMPRODUCT(($Z$3:$AI$3&lt;AA$3)*($Z246:$AI246-$AJ246:$AS246))))</f>
        <v>0</v>
      </c>
      <c r="H246" s="42" t="n">
        <f aca="false">AL246+MIN(AB246-AL246,MAX(0,'Start Here'!$B$10-SUM($AJ246:$AS246)-SUMPRODUCT(($Z$3:$AI$3&lt;AB$3)*($Z246:$AI246-$AJ246:$AS246))))</f>
        <v>0</v>
      </c>
      <c r="I246" s="42" t="n">
        <f aca="false">AM246+MIN(AC246-AM246,MAX(0,'Start Here'!$B$10-SUM($AJ246:$AS246)-SUMPRODUCT(($Z$3:$AI$3&lt;AC$3)*($Z246:$AI246-$AJ246:$AS246))))</f>
        <v>0</v>
      </c>
      <c r="J246" s="42" t="n">
        <f aca="false">AN246+MIN(AD246-AN246,MAX(0,'Start Here'!$B$10-SUM($AJ246:$AS246)-SUMPRODUCT(($Z$3:$AI$3&lt;AD$3)*($Z246:$AI246-$AJ246:$AS246))))</f>
        <v>0</v>
      </c>
      <c r="K246" s="42" t="n">
        <f aca="false">AO246+MIN(AE246-AO246,MAX(0,'Start Here'!$B$10-SUM($AJ246:$AS246)-SUMPRODUCT(($Z$3:$AI$3&lt;AE$3)*($Z246:$AI246-$AJ246:$AS246))))</f>
        <v>0</v>
      </c>
      <c r="L246" s="42" t="n">
        <f aca="false">AP246+MIN(AF246-AP246,MAX(0,'Start Here'!$B$10-SUM($AJ246:$AS246)-SUMPRODUCT(($Z$3:$AI$3&lt;AF$3)*($Z246:$AI246-$AJ246:$AS246))))</f>
        <v>0</v>
      </c>
      <c r="M246" s="42" t="n">
        <f aca="false">AQ246+MIN(AG246-AQ246,MAX(0,'Start Here'!$B$10-SUM($AJ246:$AS246)-SUMPRODUCT(($Z$3:$AI$3&lt;AG$3)*($Z246:$AI246-$AJ246:$AS246))))</f>
        <v>0</v>
      </c>
      <c r="N246" s="42" t="n">
        <f aca="false">AR246+MIN(AH246-AR246,MAX(0,'Start Here'!$B$10-SUM($AJ246:$AS246)-SUMPRODUCT(($Z$3:$AI$3&lt;AH$3)*($Z246:$AI246-$AJ246:$AS246))))</f>
        <v>0</v>
      </c>
      <c r="O246" s="42" t="n">
        <f aca="false">AS246+MIN(AI246-AS246,MAX(0,'Start Here'!$B$10-SUM($AJ246:$AS246)-SUMPRODUCT(($Z$3:$AI$3&lt;AI$3)*($Z246:$AI246-$AJ246:$AS246))))</f>
        <v>0</v>
      </c>
      <c r="P246" s="42" t="n">
        <f aca="false">ROUND(Z246-F246,2)</f>
        <v>0</v>
      </c>
      <c r="Q246" s="42" t="n">
        <f aca="false">ROUND(AA246-G246,2)</f>
        <v>0</v>
      </c>
      <c r="R246" s="42" t="n">
        <f aca="false">ROUND(AB246-H246,2)</f>
        <v>0</v>
      </c>
      <c r="S246" s="42" t="n">
        <f aca="false">ROUND(AC246-I246,2)</f>
        <v>0</v>
      </c>
      <c r="T246" s="42" t="n">
        <f aca="false">ROUND(AD246-J246,2)</f>
        <v>0</v>
      </c>
      <c r="U246" s="42" t="n">
        <f aca="false">ROUND(AE246-K246,2)</f>
        <v>0</v>
      </c>
      <c r="V246" s="42" t="n">
        <f aca="false">ROUND(AF246-L246,2)</f>
        <v>0</v>
      </c>
      <c r="W246" s="42" t="n">
        <f aca="false">ROUND(AG246-M246,2)</f>
        <v>0</v>
      </c>
      <c r="X246" s="42" t="n">
        <f aca="false">ROUND(AH246-N246,2)</f>
        <v>0</v>
      </c>
      <c r="Y246" s="42" t="n">
        <f aca="false">ROUND(AI246-O246,2)</f>
        <v>0</v>
      </c>
      <c r="Z246" s="56" t="n">
        <f aca="false">ROUND(P245*(1+N(Debts!$D$5)/12),2)</f>
        <v>0</v>
      </c>
      <c r="AA246" s="56" t="n">
        <f aca="false">ROUND(Q245*(1+N(Debts!$D$6)/12),2)</f>
        <v>0</v>
      </c>
      <c r="AB246" s="56" t="n">
        <f aca="false">ROUND(R245*(1+N(Debts!$D$7)/12),2)</f>
        <v>0</v>
      </c>
      <c r="AC246" s="56" t="n">
        <f aca="false">ROUND(S245*(1+N(Debts!$D$8)/12),2)</f>
        <v>0</v>
      </c>
      <c r="AD246" s="56" t="n">
        <f aca="false">ROUND(T245*(1+N(Debts!$D$9)/12),2)</f>
        <v>0</v>
      </c>
      <c r="AE246" s="56" t="n">
        <f aca="false">ROUND(U245*(1+N(Debts!$D$10)/12),2)</f>
        <v>0</v>
      </c>
      <c r="AF246" s="56" t="n">
        <f aca="false">ROUND(V245*(1+N(Debts!$D$11)/12),2)</f>
        <v>0</v>
      </c>
      <c r="AG246" s="56" t="n">
        <f aca="false">ROUND(W245*(1+N(Debts!$D$12)/12),2)</f>
        <v>0</v>
      </c>
      <c r="AH246" s="56" t="n">
        <f aca="false">ROUND(X245*(1+N(Debts!$D$13)/12),2)</f>
        <v>0</v>
      </c>
      <c r="AI246" s="56" t="n">
        <f aca="false">ROUND(Y245*(1+N(Debts!$D$14)/12),2)</f>
        <v>0</v>
      </c>
      <c r="AJ246" s="56" t="n">
        <f aca="false">MIN(Z246,MAX(0,N(Debts!$E$5)))</f>
        <v>0</v>
      </c>
      <c r="AK246" s="56" t="n">
        <f aca="false">MIN(AA246,MAX(0,N(Debts!$E$6)))</f>
        <v>0</v>
      </c>
      <c r="AL246" s="56" t="n">
        <f aca="false">MIN(AB246,MAX(0,N(Debts!$E$7)))</f>
        <v>0</v>
      </c>
      <c r="AM246" s="56" t="n">
        <f aca="false">MIN(AC246,MAX(0,N(Debts!$E$8)))</f>
        <v>0</v>
      </c>
      <c r="AN246" s="56" t="n">
        <f aca="false">MIN(AD246,MAX(0,N(Debts!$E$9)))</f>
        <v>0</v>
      </c>
      <c r="AO246" s="56" t="n">
        <f aca="false">MIN(AE246,MAX(0,N(Debts!$E$10)))</f>
        <v>0</v>
      </c>
      <c r="AP246" s="56" t="n">
        <f aca="false">MIN(AF246,MAX(0,N(Debts!$E$11)))</f>
        <v>0</v>
      </c>
      <c r="AQ246" s="56" t="n">
        <f aca="false">MIN(AG246,MAX(0,N(Debts!$E$12)))</f>
        <v>0</v>
      </c>
      <c r="AR246" s="56" t="n">
        <f aca="false">MIN(AH246,MAX(0,N(Debts!$E$13)))</f>
        <v>0</v>
      </c>
      <c r="AS246" s="56" t="n">
        <f aca="false">MIN(AI246,MAX(0,N(Debts!$E$14)))</f>
        <v>0</v>
      </c>
    </row>
    <row r="247" customFormat="false" ht="15" hidden="false" customHeight="false" outlineLevel="0" collapsed="false">
      <c r="A247" s="53" t="n">
        <v>243</v>
      </c>
      <c r="B247" s="54" t="n">
        <f aca="false">EDATE('Start Here'!$B$8,242)</f>
        <v>53693</v>
      </c>
      <c r="C247" s="42" t="n">
        <f aca="false">SUM(F247:O247)</f>
        <v>0</v>
      </c>
      <c r="D247" s="42" t="n">
        <f aca="false">ROUND(SUM($Z247:$AI247)-SUM(P246:Y246),2)</f>
        <v>0</v>
      </c>
      <c r="E247" s="55" t="n">
        <f aca="false">SUM(P247:Y247)</f>
        <v>0</v>
      </c>
      <c r="F247" s="42" t="n">
        <f aca="false">AJ247+MIN(Z247-AJ247,MAX(0,'Start Here'!$B$10-SUM($AJ247:$AS247)-SUMPRODUCT(($Z$3:$AI$3&lt;Z$3)*($Z247:$AI247-$AJ247:$AS247))))</f>
        <v>0</v>
      </c>
      <c r="G247" s="42" t="n">
        <f aca="false">AK247+MIN(AA247-AK247,MAX(0,'Start Here'!$B$10-SUM($AJ247:$AS247)-SUMPRODUCT(($Z$3:$AI$3&lt;AA$3)*($Z247:$AI247-$AJ247:$AS247))))</f>
        <v>0</v>
      </c>
      <c r="H247" s="42" t="n">
        <f aca="false">AL247+MIN(AB247-AL247,MAX(0,'Start Here'!$B$10-SUM($AJ247:$AS247)-SUMPRODUCT(($Z$3:$AI$3&lt;AB$3)*($Z247:$AI247-$AJ247:$AS247))))</f>
        <v>0</v>
      </c>
      <c r="I247" s="42" t="n">
        <f aca="false">AM247+MIN(AC247-AM247,MAX(0,'Start Here'!$B$10-SUM($AJ247:$AS247)-SUMPRODUCT(($Z$3:$AI$3&lt;AC$3)*($Z247:$AI247-$AJ247:$AS247))))</f>
        <v>0</v>
      </c>
      <c r="J247" s="42" t="n">
        <f aca="false">AN247+MIN(AD247-AN247,MAX(0,'Start Here'!$B$10-SUM($AJ247:$AS247)-SUMPRODUCT(($Z$3:$AI$3&lt;AD$3)*($Z247:$AI247-$AJ247:$AS247))))</f>
        <v>0</v>
      </c>
      <c r="K247" s="42" t="n">
        <f aca="false">AO247+MIN(AE247-AO247,MAX(0,'Start Here'!$B$10-SUM($AJ247:$AS247)-SUMPRODUCT(($Z$3:$AI$3&lt;AE$3)*($Z247:$AI247-$AJ247:$AS247))))</f>
        <v>0</v>
      </c>
      <c r="L247" s="42" t="n">
        <f aca="false">AP247+MIN(AF247-AP247,MAX(0,'Start Here'!$B$10-SUM($AJ247:$AS247)-SUMPRODUCT(($Z$3:$AI$3&lt;AF$3)*($Z247:$AI247-$AJ247:$AS247))))</f>
        <v>0</v>
      </c>
      <c r="M247" s="42" t="n">
        <f aca="false">AQ247+MIN(AG247-AQ247,MAX(0,'Start Here'!$B$10-SUM($AJ247:$AS247)-SUMPRODUCT(($Z$3:$AI$3&lt;AG$3)*($Z247:$AI247-$AJ247:$AS247))))</f>
        <v>0</v>
      </c>
      <c r="N247" s="42" t="n">
        <f aca="false">AR247+MIN(AH247-AR247,MAX(0,'Start Here'!$B$10-SUM($AJ247:$AS247)-SUMPRODUCT(($Z$3:$AI$3&lt;AH$3)*($Z247:$AI247-$AJ247:$AS247))))</f>
        <v>0</v>
      </c>
      <c r="O247" s="42" t="n">
        <f aca="false">AS247+MIN(AI247-AS247,MAX(0,'Start Here'!$B$10-SUM($AJ247:$AS247)-SUMPRODUCT(($Z$3:$AI$3&lt;AI$3)*($Z247:$AI247-$AJ247:$AS247))))</f>
        <v>0</v>
      </c>
      <c r="P247" s="42" t="n">
        <f aca="false">ROUND(Z247-F247,2)</f>
        <v>0</v>
      </c>
      <c r="Q247" s="42" t="n">
        <f aca="false">ROUND(AA247-G247,2)</f>
        <v>0</v>
      </c>
      <c r="R247" s="42" t="n">
        <f aca="false">ROUND(AB247-H247,2)</f>
        <v>0</v>
      </c>
      <c r="S247" s="42" t="n">
        <f aca="false">ROUND(AC247-I247,2)</f>
        <v>0</v>
      </c>
      <c r="T247" s="42" t="n">
        <f aca="false">ROUND(AD247-J247,2)</f>
        <v>0</v>
      </c>
      <c r="U247" s="42" t="n">
        <f aca="false">ROUND(AE247-K247,2)</f>
        <v>0</v>
      </c>
      <c r="V247" s="42" t="n">
        <f aca="false">ROUND(AF247-L247,2)</f>
        <v>0</v>
      </c>
      <c r="W247" s="42" t="n">
        <f aca="false">ROUND(AG247-M247,2)</f>
        <v>0</v>
      </c>
      <c r="X247" s="42" t="n">
        <f aca="false">ROUND(AH247-N247,2)</f>
        <v>0</v>
      </c>
      <c r="Y247" s="42" t="n">
        <f aca="false">ROUND(AI247-O247,2)</f>
        <v>0</v>
      </c>
      <c r="Z247" s="56" t="n">
        <f aca="false">ROUND(P246*(1+N(Debts!$D$5)/12),2)</f>
        <v>0</v>
      </c>
      <c r="AA247" s="56" t="n">
        <f aca="false">ROUND(Q246*(1+N(Debts!$D$6)/12),2)</f>
        <v>0</v>
      </c>
      <c r="AB247" s="56" t="n">
        <f aca="false">ROUND(R246*(1+N(Debts!$D$7)/12),2)</f>
        <v>0</v>
      </c>
      <c r="AC247" s="56" t="n">
        <f aca="false">ROUND(S246*(1+N(Debts!$D$8)/12),2)</f>
        <v>0</v>
      </c>
      <c r="AD247" s="56" t="n">
        <f aca="false">ROUND(T246*(1+N(Debts!$D$9)/12),2)</f>
        <v>0</v>
      </c>
      <c r="AE247" s="56" t="n">
        <f aca="false">ROUND(U246*(1+N(Debts!$D$10)/12),2)</f>
        <v>0</v>
      </c>
      <c r="AF247" s="56" t="n">
        <f aca="false">ROUND(V246*(1+N(Debts!$D$11)/12),2)</f>
        <v>0</v>
      </c>
      <c r="AG247" s="56" t="n">
        <f aca="false">ROUND(W246*(1+N(Debts!$D$12)/12),2)</f>
        <v>0</v>
      </c>
      <c r="AH247" s="56" t="n">
        <f aca="false">ROUND(X246*(1+N(Debts!$D$13)/12),2)</f>
        <v>0</v>
      </c>
      <c r="AI247" s="56" t="n">
        <f aca="false">ROUND(Y246*(1+N(Debts!$D$14)/12),2)</f>
        <v>0</v>
      </c>
      <c r="AJ247" s="56" t="n">
        <f aca="false">MIN(Z247,MAX(0,N(Debts!$E$5)))</f>
        <v>0</v>
      </c>
      <c r="AK247" s="56" t="n">
        <f aca="false">MIN(AA247,MAX(0,N(Debts!$E$6)))</f>
        <v>0</v>
      </c>
      <c r="AL247" s="56" t="n">
        <f aca="false">MIN(AB247,MAX(0,N(Debts!$E$7)))</f>
        <v>0</v>
      </c>
      <c r="AM247" s="56" t="n">
        <f aca="false">MIN(AC247,MAX(0,N(Debts!$E$8)))</f>
        <v>0</v>
      </c>
      <c r="AN247" s="56" t="n">
        <f aca="false">MIN(AD247,MAX(0,N(Debts!$E$9)))</f>
        <v>0</v>
      </c>
      <c r="AO247" s="56" t="n">
        <f aca="false">MIN(AE247,MAX(0,N(Debts!$E$10)))</f>
        <v>0</v>
      </c>
      <c r="AP247" s="56" t="n">
        <f aca="false">MIN(AF247,MAX(0,N(Debts!$E$11)))</f>
        <v>0</v>
      </c>
      <c r="AQ247" s="56" t="n">
        <f aca="false">MIN(AG247,MAX(0,N(Debts!$E$12)))</f>
        <v>0</v>
      </c>
      <c r="AR247" s="56" t="n">
        <f aca="false">MIN(AH247,MAX(0,N(Debts!$E$13)))</f>
        <v>0</v>
      </c>
      <c r="AS247" s="56" t="n">
        <f aca="false">MIN(AI247,MAX(0,N(Debts!$E$14)))</f>
        <v>0</v>
      </c>
    </row>
    <row r="248" customFormat="false" ht="15" hidden="false" customHeight="false" outlineLevel="0" collapsed="false">
      <c r="A248" s="53" t="n">
        <v>244</v>
      </c>
      <c r="B248" s="54" t="n">
        <f aca="false">EDATE('Start Here'!$B$8,243)</f>
        <v>53724</v>
      </c>
      <c r="C248" s="42" t="n">
        <f aca="false">SUM(F248:O248)</f>
        <v>0</v>
      </c>
      <c r="D248" s="42" t="n">
        <f aca="false">ROUND(SUM($Z248:$AI248)-SUM(P247:Y247),2)</f>
        <v>0</v>
      </c>
      <c r="E248" s="55" t="n">
        <f aca="false">SUM(P248:Y248)</f>
        <v>0</v>
      </c>
      <c r="F248" s="42" t="n">
        <f aca="false">AJ248+MIN(Z248-AJ248,MAX(0,'Start Here'!$B$10-SUM($AJ248:$AS248)-SUMPRODUCT(($Z$3:$AI$3&lt;Z$3)*($Z248:$AI248-$AJ248:$AS248))))</f>
        <v>0</v>
      </c>
      <c r="G248" s="42" t="n">
        <f aca="false">AK248+MIN(AA248-AK248,MAX(0,'Start Here'!$B$10-SUM($AJ248:$AS248)-SUMPRODUCT(($Z$3:$AI$3&lt;AA$3)*($Z248:$AI248-$AJ248:$AS248))))</f>
        <v>0</v>
      </c>
      <c r="H248" s="42" t="n">
        <f aca="false">AL248+MIN(AB248-AL248,MAX(0,'Start Here'!$B$10-SUM($AJ248:$AS248)-SUMPRODUCT(($Z$3:$AI$3&lt;AB$3)*($Z248:$AI248-$AJ248:$AS248))))</f>
        <v>0</v>
      </c>
      <c r="I248" s="42" t="n">
        <f aca="false">AM248+MIN(AC248-AM248,MAX(0,'Start Here'!$B$10-SUM($AJ248:$AS248)-SUMPRODUCT(($Z$3:$AI$3&lt;AC$3)*($Z248:$AI248-$AJ248:$AS248))))</f>
        <v>0</v>
      </c>
      <c r="J248" s="42" t="n">
        <f aca="false">AN248+MIN(AD248-AN248,MAX(0,'Start Here'!$B$10-SUM($AJ248:$AS248)-SUMPRODUCT(($Z$3:$AI$3&lt;AD$3)*($Z248:$AI248-$AJ248:$AS248))))</f>
        <v>0</v>
      </c>
      <c r="K248" s="42" t="n">
        <f aca="false">AO248+MIN(AE248-AO248,MAX(0,'Start Here'!$B$10-SUM($AJ248:$AS248)-SUMPRODUCT(($Z$3:$AI$3&lt;AE$3)*($Z248:$AI248-$AJ248:$AS248))))</f>
        <v>0</v>
      </c>
      <c r="L248" s="42" t="n">
        <f aca="false">AP248+MIN(AF248-AP248,MAX(0,'Start Here'!$B$10-SUM($AJ248:$AS248)-SUMPRODUCT(($Z$3:$AI$3&lt;AF$3)*($Z248:$AI248-$AJ248:$AS248))))</f>
        <v>0</v>
      </c>
      <c r="M248" s="42" t="n">
        <f aca="false">AQ248+MIN(AG248-AQ248,MAX(0,'Start Here'!$B$10-SUM($AJ248:$AS248)-SUMPRODUCT(($Z$3:$AI$3&lt;AG$3)*($Z248:$AI248-$AJ248:$AS248))))</f>
        <v>0</v>
      </c>
      <c r="N248" s="42" t="n">
        <f aca="false">AR248+MIN(AH248-AR248,MAX(0,'Start Here'!$B$10-SUM($AJ248:$AS248)-SUMPRODUCT(($Z$3:$AI$3&lt;AH$3)*($Z248:$AI248-$AJ248:$AS248))))</f>
        <v>0</v>
      </c>
      <c r="O248" s="42" t="n">
        <f aca="false">AS248+MIN(AI248-AS248,MAX(0,'Start Here'!$B$10-SUM($AJ248:$AS248)-SUMPRODUCT(($Z$3:$AI$3&lt;AI$3)*($Z248:$AI248-$AJ248:$AS248))))</f>
        <v>0</v>
      </c>
      <c r="P248" s="42" t="n">
        <f aca="false">ROUND(Z248-F248,2)</f>
        <v>0</v>
      </c>
      <c r="Q248" s="42" t="n">
        <f aca="false">ROUND(AA248-G248,2)</f>
        <v>0</v>
      </c>
      <c r="R248" s="42" t="n">
        <f aca="false">ROUND(AB248-H248,2)</f>
        <v>0</v>
      </c>
      <c r="S248" s="42" t="n">
        <f aca="false">ROUND(AC248-I248,2)</f>
        <v>0</v>
      </c>
      <c r="T248" s="42" t="n">
        <f aca="false">ROUND(AD248-J248,2)</f>
        <v>0</v>
      </c>
      <c r="U248" s="42" t="n">
        <f aca="false">ROUND(AE248-K248,2)</f>
        <v>0</v>
      </c>
      <c r="V248" s="42" t="n">
        <f aca="false">ROUND(AF248-L248,2)</f>
        <v>0</v>
      </c>
      <c r="W248" s="42" t="n">
        <f aca="false">ROUND(AG248-M248,2)</f>
        <v>0</v>
      </c>
      <c r="X248" s="42" t="n">
        <f aca="false">ROUND(AH248-N248,2)</f>
        <v>0</v>
      </c>
      <c r="Y248" s="42" t="n">
        <f aca="false">ROUND(AI248-O248,2)</f>
        <v>0</v>
      </c>
      <c r="Z248" s="56" t="n">
        <f aca="false">ROUND(P247*(1+N(Debts!$D$5)/12),2)</f>
        <v>0</v>
      </c>
      <c r="AA248" s="56" t="n">
        <f aca="false">ROUND(Q247*(1+N(Debts!$D$6)/12),2)</f>
        <v>0</v>
      </c>
      <c r="AB248" s="56" t="n">
        <f aca="false">ROUND(R247*(1+N(Debts!$D$7)/12),2)</f>
        <v>0</v>
      </c>
      <c r="AC248" s="56" t="n">
        <f aca="false">ROUND(S247*(1+N(Debts!$D$8)/12),2)</f>
        <v>0</v>
      </c>
      <c r="AD248" s="56" t="n">
        <f aca="false">ROUND(T247*(1+N(Debts!$D$9)/12),2)</f>
        <v>0</v>
      </c>
      <c r="AE248" s="56" t="n">
        <f aca="false">ROUND(U247*(1+N(Debts!$D$10)/12),2)</f>
        <v>0</v>
      </c>
      <c r="AF248" s="56" t="n">
        <f aca="false">ROUND(V247*(1+N(Debts!$D$11)/12),2)</f>
        <v>0</v>
      </c>
      <c r="AG248" s="56" t="n">
        <f aca="false">ROUND(W247*(1+N(Debts!$D$12)/12),2)</f>
        <v>0</v>
      </c>
      <c r="AH248" s="56" t="n">
        <f aca="false">ROUND(X247*(1+N(Debts!$D$13)/12),2)</f>
        <v>0</v>
      </c>
      <c r="AI248" s="56" t="n">
        <f aca="false">ROUND(Y247*(1+N(Debts!$D$14)/12),2)</f>
        <v>0</v>
      </c>
      <c r="AJ248" s="56" t="n">
        <f aca="false">MIN(Z248,MAX(0,N(Debts!$E$5)))</f>
        <v>0</v>
      </c>
      <c r="AK248" s="56" t="n">
        <f aca="false">MIN(AA248,MAX(0,N(Debts!$E$6)))</f>
        <v>0</v>
      </c>
      <c r="AL248" s="56" t="n">
        <f aca="false">MIN(AB248,MAX(0,N(Debts!$E$7)))</f>
        <v>0</v>
      </c>
      <c r="AM248" s="56" t="n">
        <f aca="false">MIN(AC248,MAX(0,N(Debts!$E$8)))</f>
        <v>0</v>
      </c>
      <c r="AN248" s="56" t="n">
        <f aca="false">MIN(AD248,MAX(0,N(Debts!$E$9)))</f>
        <v>0</v>
      </c>
      <c r="AO248" s="56" t="n">
        <f aca="false">MIN(AE248,MAX(0,N(Debts!$E$10)))</f>
        <v>0</v>
      </c>
      <c r="AP248" s="56" t="n">
        <f aca="false">MIN(AF248,MAX(0,N(Debts!$E$11)))</f>
        <v>0</v>
      </c>
      <c r="AQ248" s="56" t="n">
        <f aca="false">MIN(AG248,MAX(0,N(Debts!$E$12)))</f>
        <v>0</v>
      </c>
      <c r="AR248" s="56" t="n">
        <f aca="false">MIN(AH248,MAX(0,N(Debts!$E$13)))</f>
        <v>0</v>
      </c>
      <c r="AS248" s="56" t="n">
        <f aca="false">MIN(AI248,MAX(0,N(Debts!$E$14)))</f>
        <v>0</v>
      </c>
    </row>
    <row r="249" customFormat="false" ht="15" hidden="false" customHeight="false" outlineLevel="0" collapsed="false">
      <c r="A249" s="53" t="n">
        <v>245</v>
      </c>
      <c r="B249" s="54" t="n">
        <f aca="false">EDATE('Start Here'!$B$8,244)</f>
        <v>53752</v>
      </c>
      <c r="C249" s="42" t="n">
        <f aca="false">SUM(F249:O249)</f>
        <v>0</v>
      </c>
      <c r="D249" s="42" t="n">
        <f aca="false">ROUND(SUM($Z249:$AI249)-SUM(P248:Y248),2)</f>
        <v>0</v>
      </c>
      <c r="E249" s="55" t="n">
        <f aca="false">SUM(P249:Y249)</f>
        <v>0</v>
      </c>
      <c r="F249" s="42" t="n">
        <f aca="false">AJ249+MIN(Z249-AJ249,MAX(0,'Start Here'!$B$10-SUM($AJ249:$AS249)-SUMPRODUCT(($Z$3:$AI$3&lt;Z$3)*($Z249:$AI249-$AJ249:$AS249))))</f>
        <v>0</v>
      </c>
      <c r="G249" s="42" t="n">
        <f aca="false">AK249+MIN(AA249-AK249,MAX(0,'Start Here'!$B$10-SUM($AJ249:$AS249)-SUMPRODUCT(($Z$3:$AI$3&lt;AA$3)*($Z249:$AI249-$AJ249:$AS249))))</f>
        <v>0</v>
      </c>
      <c r="H249" s="42" t="n">
        <f aca="false">AL249+MIN(AB249-AL249,MAX(0,'Start Here'!$B$10-SUM($AJ249:$AS249)-SUMPRODUCT(($Z$3:$AI$3&lt;AB$3)*($Z249:$AI249-$AJ249:$AS249))))</f>
        <v>0</v>
      </c>
      <c r="I249" s="42" t="n">
        <f aca="false">AM249+MIN(AC249-AM249,MAX(0,'Start Here'!$B$10-SUM($AJ249:$AS249)-SUMPRODUCT(($Z$3:$AI$3&lt;AC$3)*($Z249:$AI249-$AJ249:$AS249))))</f>
        <v>0</v>
      </c>
      <c r="J249" s="42" t="n">
        <f aca="false">AN249+MIN(AD249-AN249,MAX(0,'Start Here'!$B$10-SUM($AJ249:$AS249)-SUMPRODUCT(($Z$3:$AI$3&lt;AD$3)*($Z249:$AI249-$AJ249:$AS249))))</f>
        <v>0</v>
      </c>
      <c r="K249" s="42" t="n">
        <f aca="false">AO249+MIN(AE249-AO249,MAX(0,'Start Here'!$B$10-SUM($AJ249:$AS249)-SUMPRODUCT(($Z$3:$AI$3&lt;AE$3)*($Z249:$AI249-$AJ249:$AS249))))</f>
        <v>0</v>
      </c>
      <c r="L249" s="42" t="n">
        <f aca="false">AP249+MIN(AF249-AP249,MAX(0,'Start Here'!$B$10-SUM($AJ249:$AS249)-SUMPRODUCT(($Z$3:$AI$3&lt;AF$3)*($Z249:$AI249-$AJ249:$AS249))))</f>
        <v>0</v>
      </c>
      <c r="M249" s="42" t="n">
        <f aca="false">AQ249+MIN(AG249-AQ249,MAX(0,'Start Here'!$B$10-SUM($AJ249:$AS249)-SUMPRODUCT(($Z$3:$AI$3&lt;AG$3)*($Z249:$AI249-$AJ249:$AS249))))</f>
        <v>0</v>
      </c>
      <c r="N249" s="42" t="n">
        <f aca="false">AR249+MIN(AH249-AR249,MAX(0,'Start Here'!$B$10-SUM($AJ249:$AS249)-SUMPRODUCT(($Z$3:$AI$3&lt;AH$3)*($Z249:$AI249-$AJ249:$AS249))))</f>
        <v>0</v>
      </c>
      <c r="O249" s="42" t="n">
        <f aca="false">AS249+MIN(AI249-AS249,MAX(0,'Start Here'!$B$10-SUM($AJ249:$AS249)-SUMPRODUCT(($Z$3:$AI$3&lt;AI$3)*($Z249:$AI249-$AJ249:$AS249))))</f>
        <v>0</v>
      </c>
      <c r="P249" s="42" t="n">
        <f aca="false">ROUND(Z249-F249,2)</f>
        <v>0</v>
      </c>
      <c r="Q249" s="42" t="n">
        <f aca="false">ROUND(AA249-G249,2)</f>
        <v>0</v>
      </c>
      <c r="R249" s="42" t="n">
        <f aca="false">ROUND(AB249-H249,2)</f>
        <v>0</v>
      </c>
      <c r="S249" s="42" t="n">
        <f aca="false">ROUND(AC249-I249,2)</f>
        <v>0</v>
      </c>
      <c r="T249" s="42" t="n">
        <f aca="false">ROUND(AD249-J249,2)</f>
        <v>0</v>
      </c>
      <c r="U249" s="42" t="n">
        <f aca="false">ROUND(AE249-K249,2)</f>
        <v>0</v>
      </c>
      <c r="V249" s="42" t="n">
        <f aca="false">ROUND(AF249-L249,2)</f>
        <v>0</v>
      </c>
      <c r="W249" s="42" t="n">
        <f aca="false">ROUND(AG249-M249,2)</f>
        <v>0</v>
      </c>
      <c r="X249" s="42" t="n">
        <f aca="false">ROUND(AH249-N249,2)</f>
        <v>0</v>
      </c>
      <c r="Y249" s="42" t="n">
        <f aca="false">ROUND(AI249-O249,2)</f>
        <v>0</v>
      </c>
      <c r="Z249" s="56" t="n">
        <f aca="false">ROUND(P248*(1+N(Debts!$D$5)/12),2)</f>
        <v>0</v>
      </c>
      <c r="AA249" s="56" t="n">
        <f aca="false">ROUND(Q248*(1+N(Debts!$D$6)/12),2)</f>
        <v>0</v>
      </c>
      <c r="AB249" s="56" t="n">
        <f aca="false">ROUND(R248*(1+N(Debts!$D$7)/12),2)</f>
        <v>0</v>
      </c>
      <c r="AC249" s="56" t="n">
        <f aca="false">ROUND(S248*(1+N(Debts!$D$8)/12),2)</f>
        <v>0</v>
      </c>
      <c r="AD249" s="56" t="n">
        <f aca="false">ROUND(T248*(1+N(Debts!$D$9)/12),2)</f>
        <v>0</v>
      </c>
      <c r="AE249" s="56" t="n">
        <f aca="false">ROUND(U248*(1+N(Debts!$D$10)/12),2)</f>
        <v>0</v>
      </c>
      <c r="AF249" s="56" t="n">
        <f aca="false">ROUND(V248*(1+N(Debts!$D$11)/12),2)</f>
        <v>0</v>
      </c>
      <c r="AG249" s="56" t="n">
        <f aca="false">ROUND(W248*(1+N(Debts!$D$12)/12),2)</f>
        <v>0</v>
      </c>
      <c r="AH249" s="56" t="n">
        <f aca="false">ROUND(X248*(1+N(Debts!$D$13)/12),2)</f>
        <v>0</v>
      </c>
      <c r="AI249" s="56" t="n">
        <f aca="false">ROUND(Y248*(1+N(Debts!$D$14)/12),2)</f>
        <v>0</v>
      </c>
      <c r="AJ249" s="56" t="n">
        <f aca="false">MIN(Z249,MAX(0,N(Debts!$E$5)))</f>
        <v>0</v>
      </c>
      <c r="AK249" s="56" t="n">
        <f aca="false">MIN(AA249,MAX(0,N(Debts!$E$6)))</f>
        <v>0</v>
      </c>
      <c r="AL249" s="56" t="n">
        <f aca="false">MIN(AB249,MAX(0,N(Debts!$E$7)))</f>
        <v>0</v>
      </c>
      <c r="AM249" s="56" t="n">
        <f aca="false">MIN(AC249,MAX(0,N(Debts!$E$8)))</f>
        <v>0</v>
      </c>
      <c r="AN249" s="56" t="n">
        <f aca="false">MIN(AD249,MAX(0,N(Debts!$E$9)))</f>
        <v>0</v>
      </c>
      <c r="AO249" s="56" t="n">
        <f aca="false">MIN(AE249,MAX(0,N(Debts!$E$10)))</f>
        <v>0</v>
      </c>
      <c r="AP249" s="56" t="n">
        <f aca="false">MIN(AF249,MAX(0,N(Debts!$E$11)))</f>
        <v>0</v>
      </c>
      <c r="AQ249" s="56" t="n">
        <f aca="false">MIN(AG249,MAX(0,N(Debts!$E$12)))</f>
        <v>0</v>
      </c>
      <c r="AR249" s="56" t="n">
        <f aca="false">MIN(AH249,MAX(0,N(Debts!$E$13)))</f>
        <v>0</v>
      </c>
      <c r="AS249" s="56" t="n">
        <f aca="false">MIN(AI249,MAX(0,N(Debts!$E$14)))</f>
        <v>0</v>
      </c>
    </row>
    <row r="250" customFormat="false" ht="15" hidden="false" customHeight="false" outlineLevel="0" collapsed="false">
      <c r="A250" s="53" t="n">
        <v>246</v>
      </c>
      <c r="B250" s="54" t="n">
        <f aca="false">EDATE('Start Here'!$B$8,245)</f>
        <v>53783</v>
      </c>
      <c r="C250" s="42" t="n">
        <f aca="false">SUM(F250:O250)</f>
        <v>0</v>
      </c>
      <c r="D250" s="42" t="n">
        <f aca="false">ROUND(SUM($Z250:$AI250)-SUM(P249:Y249),2)</f>
        <v>0</v>
      </c>
      <c r="E250" s="55" t="n">
        <f aca="false">SUM(P250:Y250)</f>
        <v>0</v>
      </c>
      <c r="F250" s="42" t="n">
        <f aca="false">AJ250+MIN(Z250-AJ250,MAX(0,'Start Here'!$B$10-SUM($AJ250:$AS250)-SUMPRODUCT(($Z$3:$AI$3&lt;Z$3)*($Z250:$AI250-$AJ250:$AS250))))</f>
        <v>0</v>
      </c>
      <c r="G250" s="42" t="n">
        <f aca="false">AK250+MIN(AA250-AK250,MAX(0,'Start Here'!$B$10-SUM($AJ250:$AS250)-SUMPRODUCT(($Z$3:$AI$3&lt;AA$3)*($Z250:$AI250-$AJ250:$AS250))))</f>
        <v>0</v>
      </c>
      <c r="H250" s="42" t="n">
        <f aca="false">AL250+MIN(AB250-AL250,MAX(0,'Start Here'!$B$10-SUM($AJ250:$AS250)-SUMPRODUCT(($Z$3:$AI$3&lt;AB$3)*($Z250:$AI250-$AJ250:$AS250))))</f>
        <v>0</v>
      </c>
      <c r="I250" s="42" t="n">
        <f aca="false">AM250+MIN(AC250-AM250,MAX(0,'Start Here'!$B$10-SUM($AJ250:$AS250)-SUMPRODUCT(($Z$3:$AI$3&lt;AC$3)*($Z250:$AI250-$AJ250:$AS250))))</f>
        <v>0</v>
      </c>
      <c r="J250" s="42" t="n">
        <f aca="false">AN250+MIN(AD250-AN250,MAX(0,'Start Here'!$B$10-SUM($AJ250:$AS250)-SUMPRODUCT(($Z$3:$AI$3&lt;AD$3)*($Z250:$AI250-$AJ250:$AS250))))</f>
        <v>0</v>
      </c>
      <c r="K250" s="42" t="n">
        <f aca="false">AO250+MIN(AE250-AO250,MAX(0,'Start Here'!$B$10-SUM($AJ250:$AS250)-SUMPRODUCT(($Z$3:$AI$3&lt;AE$3)*($Z250:$AI250-$AJ250:$AS250))))</f>
        <v>0</v>
      </c>
      <c r="L250" s="42" t="n">
        <f aca="false">AP250+MIN(AF250-AP250,MAX(0,'Start Here'!$B$10-SUM($AJ250:$AS250)-SUMPRODUCT(($Z$3:$AI$3&lt;AF$3)*($Z250:$AI250-$AJ250:$AS250))))</f>
        <v>0</v>
      </c>
      <c r="M250" s="42" t="n">
        <f aca="false">AQ250+MIN(AG250-AQ250,MAX(0,'Start Here'!$B$10-SUM($AJ250:$AS250)-SUMPRODUCT(($Z$3:$AI$3&lt;AG$3)*($Z250:$AI250-$AJ250:$AS250))))</f>
        <v>0</v>
      </c>
      <c r="N250" s="42" t="n">
        <f aca="false">AR250+MIN(AH250-AR250,MAX(0,'Start Here'!$B$10-SUM($AJ250:$AS250)-SUMPRODUCT(($Z$3:$AI$3&lt;AH$3)*($Z250:$AI250-$AJ250:$AS250))))</f>
        <v>0</v>
      </c>
      <c r="O250" s="42" t="n">
        <f aca="false">AS250+MIN(AI250-AS250,MAX(0,'Start Here'!$B$10-SUM($AJ250:$AS250)-SUMPRODUCT(($Z$3:$AI$3&lt;AI$3)*($Z250:$AI250-$AJ250:$AS250))))</f>
        <v>0</v>
      </c>
      <c r="P250" s="42" t="n">
        <f aca="false">ROUND(Z250-F250,2)</f>
        <v>0</v>
      </c>
      <c r="Q250" s="42" t="n">
        <f aca="false">ROUND(AA250-G250,2)</f>
        <v>0</v>
      </c>
      <c r="R250" s="42" t="n">
        <f aca="false">ROUND(AB250-H250,2)</f>
        <v>0</v>
      </c>
      <c r="S250" s="42" t="n">
        <f aca="false">ROUND(AC250-I250,2)</f>
        <v>0</v>
      </c>
      <c r="T250" s="42" t="n">
        <f aca="false">ROUND(AD250-J250,2)</f>
        <v>0</v>
      </c>
      <c r="U250" s="42" t="n">
        <f aca="false">ROUND(AE250-K250,2)</f>
        <v>0</v>
      </c>
      <c r="V250" s="42" t="n">
        <f aca="false">ROUND(AF250-L250,2)</f>
        <v>0</v>
      </c>
      <c r="W250" s="42" t="n">
        <f aca="false">ROUND(AG250-M250,2)</f>
        <v>0</v>
      </c>
      <c r="X250" s="42" t="n">
        <f aca="false">ROUND(AH250-N250,2)</f>
        <v>0</v>
      </c>
      <c r="Y250" s="42" t="n">
        <f aca="false">ROUND(AI250-O250,2)</f>
        <v>0</v>
      </c>
      <c r="Z250" s="56" t="n">
        <f aca="false">ROUND(P249*(1+N(Debts!$D$5)/12),2)</f>
        <v>0</v>
      </c>
      <c r="AA250" s="56" t="n">
        <f aca="false">ROUND(Q249*(1+N(Debts!$D$6)/12),2)</f>
        <v>0</v>
      </c>
      <c r="AB250" s="56" t="n">
        <f aca="false">ROUND(R249*(1+N(Debts!$D$7)/12),2)</f>
        <v>0</v>
      </c>
      <c r="AC250" s="56" t="n">
        <f aca="false">ROUND(S249*(1+N(Debts!$D$8)/12),2)</f>
        <v>0</v>
      </c>
      <c r="AD250" s="56" t="n">
        <f aca="false">ROUND(T249*(1+N(Debts!$D$9)/12),2)</f>
        <v>0</v>
      </c>
      <c r="AE250" s="56" t="n">
        <f aca="false">ROUND(U249*(1+N(Debts!$D$10)/12),2)</f>
        <v>0</v>
      </c>
      <c r="AF250" s="56" t="n">
        <f aca="false">ROUND(V249*(1+N(Debts!$D$11)/12),2)</f>
        <v>0</v>
      </c>
      <c r="AG250" s="56" t="n">
        <f aca="false">ROUND(W249*(1+N(Debts!$D$12)/12),2)</f>
        <v>0</v>
      </c>
      <c r="AH250" s="56" t="n">
        <f aca="false">ROUND(X249*(1+N(Debts!$D$13)/12),2)</f>
        <v>0</v>
      </c>
      <c r="AI250" s="56" t="n">
        <f aca="false">ROUND(Y249*(1+N(Debts!$D$14)/12),2)</f>
        <v>0</v>
      </c>
      <c r="AJ250" s="56" t="n">
        <f aca="false">MIN(Z250,MAX(0,N(Debts!$E$5)))</f>
        <v>0</v>
      </c>
      <c r="AK250" s="56" t="n">
        <f aca="false">MIN(AA250,MAX(0,N(Debts!$E$6)))</f>
        <v>0</v>
      </c>
      <c r="AL250" s="56" t="n">
        <f aca="false">MIN(AB250,MAX(0,N(Debts!$E$7)))</f>
        <v>0</v>
      </c>
      <c r="AM250" s="56" t="n">
        <f aca="false">MIN(AC250,MAX(0,N(Debts!$E$8)))</f>
        <v>0</v>
      </c>
      <c r="AN250" s="56" t="n">
        <f aca="false">MIN(AD250,MAX(0,N(Debts!$E$9)))</f>
        <v>0</v>
      </c>
      <c r="AO250" s="56" t="n">
        <f aca="false">MIN(AE250,MAX(0,N(Debts!$E$10)))</f>
        <v>0</v>
      </c>
      <c r="AP250" s="56" t="n">
        <f aca="false">MIN(AF250,MAX(0,N(Debts!$E$11)))</f>
        <v>0</v>
      </c>
      <c r="AQ250" s="56" t="n">
        <f aca="false">MIN(AG250,MAX(0,N(Debts!$E$12)))</f>
        <v>0</v>
      </c>
      <c r="AR250" s="56" t="n">
        <f aca="false">MIN(AH250,MAX(0,N(Debts!$E$13)))</f>
        <v>0</v>
      </c>
      <c r="AS250" s="56" t="n">
        <f aca="false">MIN(AI250,MAX(0,N(Debts!$E$14)))</f>
        <v>0</v>
      </c>
    </row>
    <row r="251" customFormat="false" ht="15" hidden="false" customHeight="false" outlineLevel="0" collapsed="false">
      <c r="A251" s="53" t="n">
        <v>247</v>
      </c>
      <c r="B251" s="54" t="n">
        <f aca="false">EDATE('Start Here'!$B$8,246)</f>
        <v>53813</v>
      </c>
      <c r="C251" s="42" t="n">
        <f aca="false">SUM(F251:O251)</f>
        <v>0</v>
      </c>
      <c r="D251" s="42" t="n">
        <f aca="false">ROUND(SUM($Z251:$AI251)-SUM(P250:Y250),2)</f>
        <v>0</v>
      </c>
      <c r="E251" s="55" t="n">
        <f aca="false">SUM(P251:Y251)</f>
        <v>0</v>
      </c>
      <c r="F251" s="42" t="n">
        <f aca="false">AJ251+MIN(Z251-AJ251,MAX(0,'Start Here'!$B$10-SUM($AJ251:$AS251)-SUMPRODUCT(($Z$3:$AI$3&lt;Z$3)*($Z251:$AI251-$AJ251:$AS251))))</f>
        <v>0</v>
      </c>
      <c r="G251" s="42" t="n">
        <f aca="false">AK251+MIN(AA251-AK251,MAX(0,'Start Here'!$B$10-SUM($AJ251:$AS251)-SUMPRODUCT(($Z$3:$AI$3&lt;AA$3)*($Z251:$AI251-$AJ251:$AS251))))</f>
        <v>0</v>
      </c>
      <c r="H251" s="42" t="n">
        <f aca="false">AL251+MIN(AB251-AL251,MAX(0,'Start Here'!$B$10-SUM($AJ251:$AS251)-SUMPRODUCT(($Z$3:$AI$3&lt;AB$3)*($Z251:$AI251-$AJ251:$AS251))))</f>
        <v>0</v>
      </c>
      <c r="I251" s="42" t="n">
        <f aca="false">AM251+MIN(AC251-AM251,MAX(0,'Start Here'!$B$10-SUM($AJ251:$AS251)-SUMPRODUCT(($Z$3:$AI$3&lt;AC$3)*($Z251:$AI251-$AJ251:$AS251))))</f>
        <v>0</v>
      </c>
      <c r="J251" s="42" t="n">
        <f aca="false">AN251+MIN(AD251-AN251,MAX(0,'Start Here'!$B$10-SUM($AJ251:$AS251)-SUMPRODUCT(($Z$3:$AI$3&lt;AD$3)*($Z251:$AI251-$AJ251:$AS251))))</f>
        <v>0</v>
      </c>
      <c r="K251" s="42" t="n">
        <f aca="false">AO251+MIN(AE251-AO251,MAX(0,'Start Here'!$B$10-SUM($AJ251:$AS251)-SUMPRODUCT(($Z$3:$AI$3&lt;AE$3)*($Z251:$AI251-$AJ251:$AS251))))</f>
        <v>0</v>
      </c>
      <c r="L251" s="42" t="n">
        <f aca="false">AP251+MIN(AF251-AP251,MAX(0,'Start Here'!$B$10-SUM($AJ251:$AS251)-SUMPRODUCT(($Z$3:$AI$3&lt;AF$3)*($Z251:$AI251-$AJ251:$AS251))))</f>
        <v>0</v>
      </c>
      <c r="M251" s="42" t="n">
        <f aca="false">AQ251+MIN(AG251-AQ251,MAX(0,'Start Here'!$B$10-SUM($AJ251:$AS251)-SUMPRODUCT(($Z$3:$AI$3&lt;AG$3)*($Z251:$AI251-$AJ251:$AS251))))</f>
        <v>0</v>
      </c>
      <c r="N251" s="42" t="n">
        <f aca="false">AR251+MIN(AH251-AR251,MAX(0,'Start Here'!$B$10-SUM($AJ251:$AS251)-SUMPRODUCT(($Z$3:$AI$3&lt;AH$3)*($Z251:$AI251-$AJ251:$AS251))))</f>
        <v>0</v>
      </c>
      <c r="O251" s="42" t="n">
        <f aca="false">AS251+MIN(AI251-AS251,MAX(0,'Start Here'!$B$10-SUM($AJ251:$AS251)-SUMPRODUCT(($Z$3:$AI$3&lt;AI$3)*($Z251:$AI251-$AJ251:$AS251))))</f>
        <v>0</v>
      </c>
      <c r="P251" s="42" t="n">
        <f aca="false">ROUND(Z251-F251,2)</f>
        <v>0</v>
      </c>
      <c r="Q251" s="42" t="n">
        <f aca="false">ROUND(AA251-G251,2)</f>
        <v>0</v>
      </c>
      <c r="R251" s="42" t="n">
        <f aca="false">ROUND(AB251-H251,2)</f>
        <v>0</v>
      </c>
      <c r="S251" s="42" t="n">
        <f aca="false">ROUND(AC251-I251,2)</f>
        <v>0</v>
      </c>
      <c r="T251" s="42" t="n">
        <f aca="false">ROUND(AD251-J251,2)</f>
        <v>0</v>
      </c>
      <c r="U251" s="42" t="n">
        <f aca="false">ROUND(AE251-K251,2)</f>
        <v>0</v>
      </c>
      <c r="V251" s="42" t="n">
        <f aca="false">ROUND(AF251-L251,2)</f>
        <v>0</v>
      </c>
      <c r="W251" s="42" t="n">
        <f aca="false">ROUND(AG251-M251,2)</f>
        <v>0</v>
      </c>
      <c r="X251" s="42" t="n">
        <f aca="false">ROUND(AH251-N251,2)</f>
        <v>0</v>
      </c>
      <c r="Y251" s="42" t="n">
        <f aca="false">ROUND(AI251-O251,2)</f>
        <v>0</v>
      </c>
      <c r="Z251" s="56" t="n">
        <f aca="false">ROUND(P250*(1+N(Debts!$D$5)/12),2)</f>
        <v>0</v>
      </c>
      <c r="AA251" s="56" t="n">
        <f aca="false">ROUND(Q250*(1+N(Debts!$D$6)/12),2)</f>
        <v>0</v>
      </c>
      <c r="AB251" s="56" t="n">
        <f aca="false">ROUND(R250*(1+N(Debts!$D$7)/12),2)</f>
        <v>0</v>
      </c>
      <c r="AC251" s="56" t="n">
        <f aca="false">ROUND(S250*(1+N(Debts!$D$8)/12),2)</f>
        <v>0</v>
      </c>
      <c r="AD251" s="56" t="n">
        <f aca="false">ROUND(T250*(1+N(Debts!$D$9)/12),2)</f>
        <v>0</v>
      </c>
      <c r="AE251" s="56" t="n">
        <f aca="false">ROUND(U250*(1+N(Debts!$D$10)/12),2)</f>
        <v>0</v>
      </c>
      <c r="AF251" s="56" t="n">
        <f aca="false">ROUND(V250*(1+N(Debts!$D$11)/12),2)</f>
        <v>0</v>
      </c>
      <c r="AG251" s="56" t="n">
        <f aca="false">ROUND(W250*(1+N(Debts!$D$12)/12),2)</f>
        <v>0</v>
      </c>
      <c r="AH251" s="56" t="n">
        <f aca="false">ROUND(X250*(1+N(Debts!$D$13)/12),2)</f>
        <v>0</v>
      </c>
      <c r="AI251" s="56" t="n">
        <f aca="false">ROUND(Y250*(1+N(Debts!$D$14)/12),2)</f>
        <v>0</v>
      </c>
      <c r="AJ251" s="56" t="n">
        <f aca="false">MIN(Z251,MAX(0,N(Debts!$E$5)))</f>
        <v>0</v>
      </c>
      <c r="AK251" s="56" t="n">
        <f aca="false">MIN(AA251,MAX(0,N(Debts!$E$6)))</f>
        <v>0</v>
      </c>
      <c r="AL251" s="56" t="n">
        <f aca="false">MIN(AB251,MAX(0,N(Debts!$E$7)))</f>
        <v>0</v>
      </c>
      <c r="AM251" s="56" t="n">
        <f aca="false">MIN(AC251,MAX(0,N(Debts!$E$8)))</f>
        <v>0</v>
      </c>
      <c r="AN251" s="56" t="n">
        <f aca="false">MIN(AD251,MAX(0,N(Debts!$E$9)))</f>
        <v>0</v>
      </c>
      <c r="AO251" s="56" t="n">
        <f aca="false">MIN(AE251,MAX(0,N(Debts!$E$10)))</f>
        <v>0</v>
      </c>
      <c r="AP251" s="56" t="n">
        <f aca="false">MIN(AF251,MAX(0,N(Debts!$E$11)))</f>
        <v>0</v>
      </c>
      <c r="AQ251" s="56" t="n">
        <f aca="false">MIN(AG251,MAX(0,N(Debts!$E$12)))</f>
        <v>0</v>
      </c>
      <c r="AR251" s="56" t="n">
        <f aca="false">MIN(AH251,MAX(0,N(Debts!$E$13)))</f>
        <v>0</v>
      </c>
      <c r="AS251" s="56" t="n">
        <f aca="false">MIN(AI251,MAX(0,N(Debts!$E$14)))</f>
        <v>0</v>
      </c>
    </row>
    <row r="252" customFormat="false" ht="15" hidden="false" customHeight="false" outlineLevel="0" collapsed="false">
      <c r="A252" s="53" t="n">
        <v>248</v>
      </c>
      <c r="B252" s="54" t="n">
        <f aca="false">EDATE('Start Here'!$B$8,247)</f>
        <v>53844</v>
      </c>
      <c r="C252" s="42" t="n">
        <f aca="false">SUM(F252:O252)</f>
        <v>0</v>
      </c>
      <c r="D252" s="42" t="n">
        <f aca="false">ROUND(SUM($Z252:$AI252)-SUM(P251:Y251),2)</f>
        <v>0</v>
      </c>
      <c r="E252" s="55" t="n">
        <f aca="false">SUM(P252:Y252)</f>
        <v>0</v>
      </c>
      <c r="F252" s="42" t="n">
        <f aca="false">AJ252+MIN(Z252-AJ252,MAX(0,'Start Here'!$B$10-SUM($AJ252:$AS252)-SUMPRODUCT(($Z$3:$AI$3&lt;Z$3)*($Z252:$AI252-$AJ252:$AS252))))</f>
        <v>0</v>
      </c>
      <c r="G252" s="42" t="n">
        <f aca="false">AK252+MIN(AA252-AK252,MAX(0,'Start Here'!$B$10-SUM($AJ252:$AS252)-SUMPRODUCT(($Z$3:$AI$3&lt;AA$3)*($Z252:$AI252-$AJ252:$AS252))))</f>
        <v>0</v>
      </c>
      <c r="H252" s="42" t="n">
        <f aca="false">AL252+MIN(AB252-AL252,MAX(0,'Start Here'!$B$10-SUM($AJ252:$AS252)-SUMPRODUCT(($Z$3:$AI$3&lt;AB$3)*($Z252:$AI252-$AJ252:$AS252))))</f>
        <v>0</v>
      </c>
      <c r="I252" s="42" t="n">
        <f aca="false">AM252+MIN(AC252-AM252,MAX(0,'Start Here'!$B$10-SUM($AJ252:$AS252)-SUMPRODUCT(($Z$3:$AI$3&lt;AC$3)*($Z252:$AI252-$AJ252:$AS252))))</f>
        <v>0</v>
      </c>
      <c r="J252" s="42" t="n">
        <f aca="false">AN252+MIN(AD252-AN252,MAX(0,'Start Here'!$B$10-SUM($AJ252:$AS252)-SUMPRODUCT(($Z$3:$AI$3&lt;AD$3)*($Z252:$AI252-$AJ252:$AS252))))</f>
        <v>0</v>
      </c>
      <c r="K252" s="42" t="n">
        <f aca="false">AO252+MIN(AE252-AO252,MAX(0,'Start Here'!$B$10-SUM($AJ252:$AS252)-SUMPRODUCT(($Z$3:$AI$3&lt;AE$3)*($Z252:$AI252-$AJ252:$AS252))))</f>
        <v>0</v>
      </c>
      <c r="L252" s="42" t="n">
        <f aca="false">AP252+MIN(AF252-AP252,MAX(0,'Start Here'!$B$10-SUM($AJ252:$AS252)-SUMPRODUCT(($Z$3:$AI$3&lt;AF$3)*($Z252:$AI252-$AJ252:$AS252))))</f>
        <v>0</v>
      </c>
      <c r="M252" s="42" t="n">
        <f aca="false">AQ252+MIN(AG252-AQ252,MAX(0,'Start Here'!$B$10-SUM($AJ252:$AS252)-SUMPRODUCT(($Z$3:$AI$3&lt;AG$3)*($Z252:$AI252-$AJ252:$AS252))))</f>
        <v>0</v>
      </c>
      <c r="N252" s="42" t="n">
        <f aca="false">AR252+MIN(AH252-AR252,MAX(0,'Start Here'!$B$10-SUM($AJ252:$AS252)-SUMPRODUCT(($Z$3:$AI$3&lt;AH$3)*($Z252:$AI252-$AJ252:$AS252))))</f>
        <v>0</v>
      </c>
      <c r="O252" s="42" t="n">
        <f aca="false">AS252+MIN(AI252-AS252,MAX(0,'Start Here'!$B$10-SUM($AJ252:$AS252)-SUMPRODUCT(($Z$3:$AI$3&lt;AI$3)*($Z252:$AI252-$AJ252:$AS252))))</f>
        <v>0</v>
      </c>
      <c r="P252" s="42" t="n">
        <f aca="false">ROUND(Z252-F252,2)</f>
        <v>0</v>
      </c>
      <c r="Q252" s="42" t="n">
        <f aca="false">ROUND(AA252-G252,2)</f>
        <v>0</v>
      </c>
      <c r="R252" s="42" t="n">
        <f aca="false">ROUND(AB252-H252,2)</f>
        <v>0</v>
      </c>
      <c r="S252" s="42" t="n">
        <f aca="false">ROUND(AC252-I252,2)</f>
        <v>0</v>
      </c>
      <c r="T252" s="42" t="n">
        <f aca="false">ROUND(AD252-J252,2)</f>
        <v>0</v>
      </c>
      <c r="U252" s="42" t="n">
        <f aca="false">ROUND(AE252-K252,2)</f>
        <v>0</v>
      </c>
      <c r="V252" s="42" t="n">
        <f aca="false">ROUND(AF252-L252,2)</f>
        <v>0</v>
      </c>
      <c r="W252" s="42" t="n">
        <f aca="false">ROUND(AG252-M252,2)</f>
        <v>0</v>
      </c>
      <c r="X252" s="42" t="n">
        <f aca="false">ROUND(AH252-N252,2)</f>
        <v>0</v>
      </c>
      <c r="Y252" s="42" t="n">
        <f aca="false">ROUND(AI252-O252,2)</f>
        <v>0</v>
      </c>
      <c r="Z252" s="56" t="n">
        <f aca="false">ROUND(P251*(1+N(Debts!$D$5)/12),2)</f>
        <v>0</v>
      </c>
      <c r="AA252" s="56" t="n">
        <f aca="false">ROUND(Q251*(1+N(Debts!$D$6)/12),2)</f>
        <v>0</v>
      </c>
      <c r="AB252" s="56" t="n">
        <f aca="false">ROUND(R251*(1+N(Debts!$D$7)/12),2)</f>
        <v>0</v>
      </c>
      <c r="AC252" s="56" t="n">
        <f aca="false">ROUND(S251*(1+N(Debts!$D$8)/12),2)</f>
        <v>0</v>
      </c>
      <c r="AD252" s="56" t="n">
        <f aca="false">ROUND(T251*(1+N(Debts!$D$9)/12),2)</f>
        <v>0</v>
      </c>
      <c r="AE252" s="56" t="n">
        <f aca="false">ROUND(U251*(1+N(Debts!$D$10)/12),2)</f>
        <v>0</v>
      </c>
      <c r="AF252" s="56" t="n">
        <f aca="false">ROUND(V251*(1+N(Debts!$D$11)/12),2)</f>
        <v>0</v>
      </c>
      <c r="AG252" s="56" t="n">
        <f aca="false">ROUND(W251*(1+N(Debts!$D$12)/12),2)</f>
        <v>0</v>
      </c>
      <c r="AH252" s="56" t="n">
        <f aca="false">ROUND(X251*(1+N(Debts!$D$13)/12),2)</f>
        <v>0</v>
      </c>
      <c r="AI252" s="56" t="n">
        <f aca="false">ROUND(Y251*(1+N(Debts!$D$14)/12),2)</f>
        <v>0</v>
      </c>
      <c r="AJ252" s="56" t="n">
        <f aca="false">MIN(Z252,MAX(0,N(Debts!$E$5)))</f>
        <v>0</v>
      </c>
      <c r="AK252" s="56" t="n">
        <f aca="false">MIN(AA252,MAX(0,N(Debts!$E$6)))</f>
        <v>0</v>
      </c>
      <c r="AL252" s="56" t="n">
        <f aca="false">MIN(AB252,MAX(0,N(Debts!$E$7)))</f>
        <v>0</v>
      </c>
      <c r="AM252" s="56" t="n">
        <f aca="false">MIN(AC252,MAX(0,N(Debts!$E$8)))</f>
        <v>0</v>
      </c>
      <c r="AN252" s="56" t="n">
        <f aca="false">MIN(AD252,MAX(0,N(Debts!$E$9)))</f>
        <v>0</v>
      </c>
      <c r="AO252" s="56" t="n">
        <f aca="false">MIN(AE252,MAX(0,N(Debts!$E$10)))</f>
        <v>0</v>
      </c>
      <c r="AP252" s="56" t="n">
        <f aca="false">MIN(AF252,MAX(0,N(Debts!$E$11)))</f>
        <v>0</v>
      </c>
      <c r="AQ252" s="56" t="n">
        <f aca="false">MIN(AG252,MAX(0,N(Debts!$E$12)))</f>
        <v>0</v>
      </c>
      <c r="AR252" s="56" t="n">
        <f aca="false">MIN(AH252,MAX(0,N(Debts!$E$13)))</f>
        <v>0</v>
      </c>
      <c r="AS252" s="56" t="n">
        <f aca="false">MIN(AI252,MAX(0,N(Debts!$E$14)))</f>
        <v>0</v>
      </c>
    </row>
    <row r="253" customFormat="false" ht="15" hidden="false" customHeight="false" outlineLevel="0" collapsed="false">
      <c r="A253" s="53" t="n">
        <v>249</v>
      </c>
      <c r="B253" s="54" t="n">
        <f aca="false">EDATE('Start Here'!$B$8,248)</f>
        <v>53874</v>
      </c>
      <c r="C253" s="42" t="n">
        <f aca="false">SUM(F253:O253)</f>
        <v>0</v>
      </c>
      <c r="D253" s="42" t="n">
        <f aca="false">ROUND(SUM($Z253:$AI253)-SUM(P252:Y252),2)</f>
        <v>0</v>
      </c>
      <c r="E253" s="55" t="n">
        <f aca="false">SUM(P253:Y253)</f>
        <v>0</v>
      </c>
      <c r="F253" s="42" t="n">
        <f aca="false">AJ253+MIN(Z253-AJ253,MAX(0,'Start Here'!$B$10-SUM($AJ253:$AS253)-SUMPRODUCT(($Z$3:$AI$3&lt;Z$3)*($Z253:$AI253-$AJ253:$AS253))))</f>
        <v>0</v>
      </c>
      <c r="G253" s="42" t="n">
        <f aca="false">AK253+MIN(AA253-AK253,MAX(0,'Start Here'!$B$10-SUM($AJ253:$AS253)-SUMPRODUCT(($Z$3:$AI$3&lt;AA$3)*($Z253:$AI253-$AJ253:$AS253))))</f>
        <v>0</v>
      </c>
      <c r="H253" s="42" t="n">
        <f aca="false">AL253+MIN(AB253-AL253,MAX(0,'Start Here'!$B$10-SUM($AJ253:$AS253)-SUMPRODUCT(($Z$3:$AI$3&lt;AB$3)*($Z253:$AI253-$AJ253:$AS253))))</f>
        <v>0</v>
      </c>
      <c r="I253" s="42" t="n">
        <f aca="false">AM253+MIN(AC253-AM253,MAX(0,'Start Here'!$B$10-SUM($AJ253:$AS253)-SUMPRODUCT(($Z$3:$AI$3&lt;AC$3)*($Z253:$AI253-$AJ253:$AS253))))</f>
        <v>0</v>
      </c>
      <c r="J253" s="42" t="n">
        <f aca="false">AN253+MIN(AD253-AN253,MAX(0,'Start Here'!$B$10-SUM($AJ253:$AS253)-SUMPRODUCT(($Z$3:$AI$3&lt;AD$3)*($Z253:$AI253-$AJ253:$AS253))))</f>
        <v>0</v>
      </c>
      <c r="K253" s="42" t="n">
        <f aca="false">AO253+MIN(AE253-AO253,MAX(0,'Start Here'!$B$10-SUM($AJ253:$AS253)-SUMPRODUCT(($Z$3:$AI$3&lt;AE$3)*($Z253:$AI253-$AJ253:$AS253))))</f>
        <v>0</v>
      </c>
      <c r="L253" s="42" t="n">
        <f aca="false">AP253+MIN(AF253-AP253,MAX(0,'Start Here'!$B$10-SUM($AJ253:$AS253)-SUMPRODUCT(($Z$3:$AI$3&lt;AF$3)*($Z253:$AI253-$AJ253:$AS253))))</f>
        <v>0</v>
      </c>
      <c r="M253" s="42" t="n">
        <f aca="false">AQ253+MIN(AG253-AQ253,MAX(0,'Start Here'!$B$10-SUM($AJ253:$AS253)-SUMPRODUCT(($Z$3:$AI$3&lt;AG$3)*($Z253:$AI253-$AJ253:$AS253))))</f>
        <v>0</v>
      </c>
      <c r="N253" s="42" t="n">
        <f aca="false">AR253+MIN(AH253-AR253,MAX(0,'Start Here'!$B$10-SUM($AJ253:$AS253)-SUMPRODUCT(($Z$3:$AI$3&lt;AH$3)*($Z253:$AI253-$AJ253:$AS253))))</f>
        <v>0</v>
      </c>
      <c r="O253" s="42" t="n">
        <f aca="false">AS253+MIN(AI253-AS253,MAX(0,'Start Here'!$B$10-SUM($AJ253:$AS253)-SUMPRODUCT(($Z$3:$AI$3&lt;AI$3)*($Z253:$AI253-$AJ253:$AS253))))</f>
        <v>0</v>
      </c>
      <c r="P253" s="42" t="n">
        <f aca="false">ROUND(Z253-F253,2)</f>
        <v>0</v>
      </c>
      <c r="Q253" s="42" t="n">
        <f aca="false">ROUND(AA253-G253,2)</f>
        <v>0</v>
      </c>
      <c r="R253" s="42" t="n">
        <f aca="false">ROUND(AB253-H253,2)</f>
        <v>0</v>
      </c>
      <c r="S253" s="42" t="n">
        <f aca="false">ROUND(AC253-I253,2)</f>
        <v>0</v>
      </c>
      <c r="T253" s="42" t="n">
        <f aca="false">ROUND(AD253-J253,2)</f>
        <v>0</v>
      </c>
      <c r="U253" s="42" t="n">
        <f aca="false">ROUND(AE253-K253,2)</f>
        <v>0</v>
      </c>
      <c r="V253" s="42" t="n">
        <f aca="false">ROUND(AF253-L253,2)</f>
        <v>0</v>
      </c>
      <c r="W253" s="42" t="n">
        <f aca="false">ROUND(AG253-M253,2)</f>
        <v>0</v>
      </c>
      <c r="X253" s="42" t="n">
        <f aca="false">ROUND(AH253-N253,2)</f>
        <v>0</v>
      </c>
      <c r="Y253" s="42" t="n">
        <f aca="false">ROUND(AI253-O253,2)</f>
        <v>0</v>
      </c>
      <c r="Z253" s="56" t="n">
        <f aca="false">ROUND(P252*(1+N(Debts!$D$5)/12),2)</f>
        <v>0</v>
      </c>
      <c r="AA253" s="56" t="n">
        <f aca="false">ROUND(Q252*(1+N(Debts!$D$6)/12),2)</f>
        <v>0</v>
      </c>
      <c r="AB253" s="56" t="n">
        <f aca="false">ROUND(R252*(1+N(Debts!$D$7)/12),2)</f>
        <v>0</v>
      </c>
      <c r="AC253" s="56" t="n">
        <f aca="false">ROUND(S252*(1+N(Debts!$D$8)/12),2)</f>
        <v>0</v>
      </c>
      <c r="AD253" s="56" t="n">
        <f aca="false">ROUND(T252*(1+N(Debts!$D$9)/12),2)</f>
        <v>0</v>
      </c>
      <c r="AE253" s="56" t="n">
        <f aca="false">ROUND(U252*(1+N(Debts!$D$10)/12),2)</f>
        <v>0</v>
      </c>
      <c r="AF253" s="56" t="n">
        <f aca="false">ROUND(V252*(1+N(Debts!$D$11)/12),2)</f>
        <v>0</v>
      </c>
      <c r="AG253" s="56" t="n">
        <f aca="false">ROUND(W252*(1+N(Debts!$D$12)/12),2)</f>
        <v>0</v>
      </c>
      <c r="AH253" s="56" t="n">
        <f aca="false">ROUND(X252*(1+N(Debts!$D$13)/12),2)</f>
        <v>0</v>
      </c>
      <c r="AI253" s="56" t="n">
        <f aca="false">ROUND(Y252*(1+N(Debts!$D$14)/12),2)</f>
        <v>0</v>
      </c>
      <c r="AJ253" s="56" t="n">
        <f aca="false">MIN(Z253,MAX(0,N(Debts!$E$5)))</f>
        <v>0</v>
      </c>
      <c r="AK253" s="56" t="n">
        <f aca="false">MIN(AA253,MAX(0,N(Debts!$E$6)))</f>
        <v>0</v>
      </c>
      <c r="AL253" s="56" t="n">
        <f aca="false">MIN(AB253,MAX(0,N(Debts!$E$7)))</f>
        <v>0</v>
      </c>
      <c r="AM253" s="56" t="n">
        <f aca="false">MIN(AC253,MAX(0,N(Debts!$E$8)))</f>
        <v>0</v>
      </c>
      <c r="AN253" s="56" t="n">
        <f aca="false">MIN(AD253,MAX(0,N(Debts!$E$9)))</f>
        <v>0</v>
      </c>
      <c r="AO253" s="56" t="n">
        <f aca="false">MIN(AE253,MAX(0,N(Debts!$E$10)))</f>
        <v>0</v>
      </c>
      <c r="AP253" s="56" t="n">
        <f aca="false">MIN(AF253,MAX(0,N(Debts!$E$11)))</f>
        <v>0</v>
      </c>
      <c r="AQ253" s="56" t="n">
        <f aca="false">MIN(AG253,MAX(0,N(Debts!$E$12)))</f>
        <v>0</v>
      </c>
      <c r="AR253" s="56" t="n">
        <f aca="false">MIN(AH253,MAX(0,N(Debts!$E$13)))</f>
        <v>0</v>
      </c>
      <c r="AS253" s="56" t="n">
        <f aca="false">MIN(AI253,MAX(0,N(Debts!$E$14)))</f>
        <v>0</v>
      </c>
    </row>
    <row r="254" customFormat="false" ht="15" hidden="false" customHeight="false" outlineLevel="0" collapsed="false">
      <c r="A254" s="53" t="n">
        <v>250</v>
      </c>
      <c r="B254" s="54" t="n">
        <f aca="false">EDATE('Start Here'!$B$8,249)</f>
        <v>53905</v>
      </c>
      <c r="C254" s="42" t="n">
        <f aca="false">SUM(F254:O254)</f>
        <v>0</v>
      </c>
      <c r="D254" s="42" t="n">
        <f aca="false">ROUND(SUM($Z254:$AI254)-SUM(P253:Y253),2)</f>
        <v>0</v>
      </c>
      <c r="E254" s="55" t="n">
        <f aca="false">SUM(P254:Y254)</f>
        <v>0</v>
      </c>
      <c r="F254" s="42" t="n">
        <f aca="false">AJ254+MIN(Z254-AJ254,MAX(0,'Start Here'!$B$10-SUM($AJ254:$AS254)-SUMPRODUCT(($Z$3:$AI$3&lt;Z$3)*($Z254:$AI254-$AJ254:$AS254))))</f>
        <v>0</v>
      </c>
      <c r="G254" s="42" t="n">
        <f aca="false">AK254+MIN(AA254-AK254,MAX(0,'Start Here'!$B$10-SUM($AJ254:$AS254)-SUMPRODUCT(($Z$3:$AI$3&lt;AA$3)*($Z254:$AI254-$AJ254:$AS254))))</f>
        <v>0</v>
      </c>
      <c r="H254" s="42" t="n">
        <f aca="false">AL254+MIN(AB254-AL254,MAX(0,'Start Here'!$B$10-SUM($AJ254:$AS254)-SUMPRODUCT(($Z$3:$AI$3&lt;AB$3)*($Z254:$AI254-$AJ254:$AS254))))</f>
        <v>0</v>
      </c>
      <c r="I254" s="42" t="n">
        <f aca="false">AM254+MIN(AC254-AM254,MAX(0,'Start Here'!$B$10-SUM($AJ254:$AS254)-SUMPRODUCT(($Z$3:$AI$3&lt;AC$3)*($Z254:$AI254-$AJ254:$AS254))))</f>
        <v>0</v>
      </c>
      <c r="J254" s="42" t="n">
        <f aca="false">AN254+MIN(AD254-AN254,MAX(0,'Start Here'!$B$10-SUM($AJ254:$AS254)-SUMPRODUCT(($Z$3:$AI$3&lt;AD$3)*($Z254:$AI254-$AJ254:$AS254))))</f>
        <v>0</v>
      </c>
      <c r="K254" s="42" t="n">
        <f aca="false">AO254+MIN(AE254-AO254,MAX(0,'Start Here'!$B$10-SUM($AJ254:$AS254)-SUMPRODUCT(($Z$3:$AI$3&lt;AE$3)*($Z254:$AI254-$AJ254:$AS254))))</f>
        <v>0</v>
      </c>
      <c r="L254" s="42" t="n">
        <f aca="false">AP254+MIN(AF254-AP254,MAX(0,'Start Here'!$B$10-SUM($AJ254:$AS254)-SUMPRODUCT(($Z$3:$AI$3&lt;AF$3)*($Z254:$AI254-$AJ254:$AS254))))</f>
        <v>0</v>
      </c>
      <c r="M254" s="42" t="n">
        <f aca="false">AQ254+MIN(AG254-AQ254,MAX(0,'Start Here'!$B$10-SUM($AJ254:$AS254)-SUMPRODUCT(($Z$3:$AI$3&lt;AG$3)*($Z254:$AI254-$AJ254:$AS254))))</f>
        <v>0</v>
      </c>
      <c r="N254" s="42" t="n">
        <f aca="false">AR254+MIN(AH254-AR254,MAX(0,'Start Here'!$B$10-SUM($AJ254:$AS254)-SUMPRODUCT(($Z$3:$AI$3&lt;AH$3)*($Z254:$AI254-$AJ254:$AS254))))</f>
        <v>0</v>
      </c>
      <c r="O254" s="42" t="n">
        <f aca="false">AS254+MIN(AI254-AS254,MAX(0,'Start Here'!$B$10-SUM($AJ254:$AS254)-SUMPRODUCT(($Z$3:$AI$3&lt;AI$3)*($Z254:$AI254-$AJ254:$AS254))))</f>
        <v>0</v>
      </c>
      <c r="P254" s="42" t="n">
        <f aca="false">ROUND(Z254-F254,2)</f>
        <v>0</v>
      </c>
      <c r="Q254" s="42" t="n">
        <f aca="false">ROUND(AA254-G254,2)</f>
        <v>0</v>
      </c>
      <c r="R254" s="42" t="n">
        <f aca="false">ROUND(AB254-H254,2)</f>
        <v>0</v>
      </c>
      <c r="S254" s="42" t="n">
        <f aca="false">ROUND(AC254-I254,2)</f>
        <v>0</v>
      </c>
      <c r="T254" s="42" t="n">
        <f aca="false">ROUND(AD254-J254,2)</f>
        <v>0</v>
      </c>
      <c r="U254" s="42" t="n">
        <f aca="false">ROUND(AE254-K254,2)</f>
        <v>0</v>
      </c>
      <c r="V254" s="42" t="n">
        <f aca="false">ROUND(AF254-L254,2)</f>
        <v>0</v>
      </c>
      <c r="W254" s="42" t="n">
        <f aca="false">ROUND(AG254-M254,2)</f>
        <v>0</v>
      </c>
      <c r="X254" s="42" t="n">
        <f aca="false">ROUND(AH254-N254,2)</f>
        <v>0</v>
      </c>
      <c r="Y254" s="42" t="n">
        <f aca="false">ROUND(AI254-O254,2)</f>
        <v>0</v>
      </c>
      <c r="Z254" s="56" t="n">
        <f aca="false">ROUND(P253*(1+N(Debts!$D$5)/12),2)</f>
        <v>0</v>
      </c>
      <c r="AA254" s="56" t="n">
        <f aca="false">ROUND(Q253*(1+N(Debts!$D$6)/12),2)</f>
        <v>0</v>
      </c>
      <c r="AB254" s="56" t="n">
        <f aca="false">ROUND(R253*(1+N(Debts!$D$7)/12),2)</f>
        <v>0</v>
      </c>
      <c r="AC254" s="56" t="n">
        <f aca="false">ROUND(S253*(1+N(Debts!$D$8)/12),2)</f>
        <v>0</v>
      </c>
      <c r="AD254" s="56" t="n">
        <f aca="false">ROUND(T253*(1+N(Debts!$D$9)/12),2)</f>
        <v>0</v>
      </c>
      <c r="AE254" s="56" t="n">
        <f aca="false">ROUND(U253*(1+N(Debts!$D$10)/12),2)</f>
        <v>0</v>
      </c>
      <c r="AF254" s="56" t="n">
        <f aca="false">ROUND(V253*(1+N(Debts!$D$11)/12),2)</f>
        <v>0</v>
      </c>
      <c r="AG254" s="56" t="n">
        <f aca="false">ROUND(W253*(1+N(Debts!$D$12)/12),2)</f>
        <v>0</v>
      </c>
      <c r="AH254" s="56" t="n">
        <f aca="false">ROUND(X253*(1+N(Debts!$D$13)/12),2)</f>
        <v>0</v>
      </c>
      <c r="AI254" s="56" t="n">
        <f aca="false">ROUND(Y253*(1+N(Debts!$D$14)/12),2)</f>
        <v>0</v>
      </c>
      <c r="AJ254" s="56" t="n">
        <f aca="false">MIN(Z254,MAX(0,N(Debts!$E$5)))</f>
        <v>0</v>
      </c>
      <c r="AK254" s="56" t="n">
        <f aca="false">MIN(AA254,MAX(0,N(Debts!$E$6)))</f>
        <v>0</v>
      </c>
      <c r="AL254" s="56" t="n">
        <f aca="false">MIN(AB254,MAX(0,N(Debts!$E$7)))</f>
        <v>0</v>
      </c>
      <c r="AM254" s="56" t="n">
        <f aca="false">MIN(AC254,MAX(0,N(Debts!$E$8)))</f>
        <v>0</v>
      </c>
      <c r="AN254" s="56" t="n">
        <f aca="false">MIN(AD254,MAX(0,N(Debts!$E$9)))</f>
        <v>0</v>
      </c>
      <c r="AO254" s="56" t="n">
        <f aca="false">MIN(AE254,MAX(0,N(Debts!$E$10)))</f>
        <v>0</v>
      </c>
      <c r="AP254" s="56" t="n">
        <f aca="false">MIN(AF254,MAX(0,N(Debts!$E$11)))</f>
        <v>0</v>
      </c>
      <c r="AQ254" s="56" t="n">
        <f aca="false">MIN(AG254,MAX(0,N(Debts!$E$12)))</f>
        <v>0</v>
      </c>
      <c r="AR254" s="56" t="n">
        <f aca="false">MIN(AH254,MAX(0,N(Debts!$E$13)))</f>
        <v>0</v>
      </c>
      <c r="AS254" s="56" t="n">
        <f aca="false">MIN(AI254,MAX(0,N(Debts!$E$14)))</f>
        <v>0</v>
      </c>
    </row>
    <row r="255" customFormat="false" ht="15" hidden="false" customHeight="false" outlineLevel="0" collapsed="false">
      <c r="A255" s="53" t="n">
        <v>251</v>
      </c>
      <c r="B255" s="54" t="n">
        <f aca="false">EDATE('Start Here'!$B$8,250)</f>
        <v>53936</v>
      </c>
      <c r="C255" s="42" t="n">
        <f aca="false">SUM(F255:O255)</f>
        <v>0</v>
      </c>
      <c r="D255" s="42" t="n">
        <f aca="false">ROUND(SUM($Z255:$AI255)-SUM(P254:Y254),2)</f>
        <v>0</v>
      </c>
      <c r="E255" s="55" t="n">
        <f aca="false">SUM(P255:Y255)</f>
        <v>0</v>
      </c>
      <c r="F255" s="42" t="n">
        <f aca="false">AJ255+MIN(Z255-AJ255,MAX(0,'Start Here'!$B$10-SUM($AJ255:$AS255)-SUMPRODUCT(($Z$3:$AI$3&lt;Z$3)*($Z255:$AI255-$AJ255:$AS255))))</f>
        <v>0</v>
      </c>
      <c r="G255" s="42" t="n">
        <f aca="false">AK255+MIN(AA255-AK255,MAX(0,'Start Here'!$B$10-SUM($AJ255:$AS255)-SUMPRODUCT(($Z$3:$AI$3&lt;AA$3)*($Z255:$AI255-$AJ255:$AS255))))</f>
        <v>0</v>
      </c>
      <c r="H255" s="42" t="n">
        <f aca="false">AL255+MIN(AB255-AL255,MAX(0,'Start Here'!$B$10-SUM($AJ255:$AS255)-SUMPRODUCT(($Z$3:$AI$3&lt;AB$3)*($Z255:$AI255-$AJ255:$AS255))))</f>
        <v>0</v>
      </c>
      <c r="I255" s="42" t="n">
        <f aca="false">AM255+MIN(AC255-AM255,MAX(0,'Start Here'!$B$10-SUM($AJ255:$AS255)-SUMPRODUCT(($Z$3:$AI$3&lt;AC$3)*($Z255:$AI255-$AJ255:$AS255))))</f>
        <v>0</v>
      </c>
      <c r="J255" s="42" t="n">
        <f aca="false">AN255+MIN(AD255-AN255,MAX(0,'Start Here'!$B$10-SUM($AJ255:$AS255)-SUMPRODUCT(($Z$3:$AI$3&lt;AD$3)*($Z255:$AI255-$AJ255:$AS255))))</f>
        <v>0</v>
      </c>
      <c r="K255" s="42" t="n">
        <f aca="false">AO255+MIN(AE255-AO255,MAX(0,'Start Here'!$B$10-SUM($AJ255:$AS255)-SUMPRODUCT(($Z$3:$AI$3&lt;AE$3)*($Z255:$AI255-$AJ255:$AS255))))</f>
        <v>0</v>
      </c>
      <c r="L255" s="42" t="n">
        <f aca="false">AP255+MIN(AF255-AP255,MAX(0,'Start Here'!$B$10-SUM($AJ255:$AS255)-SUMPRODUCT(($Z$3:$AI$3&lt;AF$3)*($Z255:$AI255-$AJ255:$AS255))))</f>
        <v>0</v>
      </c>
      <c r="M255" s="42" t="n">
        <f aca="false">AQ255+MIN(AG255-AQ255,MAX(0,'Start Here'!$B$10-SUM($AJ255:$AS255)-SUMPRODUCT(($Z$3:$AI$3&lt;AG$3)*($Z255:$AI255-$AJ255:$AS255))))</f>
        <v>0</v>
      </c>
      <c r="N255" s="42" t="n">
        <f aca="false">AR255+MIN(AH255-AR255,MAX(0,'Start Here'!$B$10-SUM($AJ255:$AS255)-SUMPRODUCT(($Z$3:$AI$3&lt;AH$3)*($Z255:$AI255-$AJ255:$AS255))))</f>
        <v>0</v>
      </c>
      <c r="O255" s="42" t="n">
        <f aca="false">AS255+MIN(AI255-AS255,MAX(0,'Start Here'!$B$10-SUM($AJ255:$AS255)-SUMPRODUCT(($Z$3:$AI$3&lt;AI$3)*($Z255:$AI255-$AJ255:$AS255))))</f>
        <v>0</v>
      </c>
      <c r="P255" s="42" t="n">
        <f aca="false">ROUND(Z255-F255,2)</f>
        <v>0</v>
      </c>
      <c r="Q255" s="42" t="n">
        <f aca="false">ROUND(AA255-G255,2)</f>
        <v>0</v>
      </c>
      <c r="R255" s="42" t="n">
        <f aca="false">ROUND(AB255-H255,2)</f>
        <v>0</v>
      </c>
      <c r="S255" s="42" t="n">
        <f aca="false">ROUND(AC255-I255,2)</f>
        <v>0</v>
      </c>
      <c r="T255" s="42" t="n">
        <f aca="false">ROUND(AD255-J255,2)</f>
        <v>0</v>
      </c>
      <c r="U255" s="42" t="n">
        <f aca="false">ROUND(AE255-K255,2)</f>
        <v>0</v>
      </c>
      <c r="V255" s="42" t="n">
        <f aca="false">ROUND(AF255-L255,2)</f>
        <v>0</v>
      </c>
      <c r="W255" s="42" t="n">
        <f aca="false">ROUND(AG255-M255,2)</f>
        <v>0</v>
      </c>
      <c r="X255" s="42" t="n">
        <f aca="false">ROUND(AH255-N255,2)</f>
        <v>0</v>
      </c>
      <c r="Y255" s="42" t="n">
        <f aca="false">ROUND(AI255-O255,2)</f>
        <v>0</v>
      </c>
      <c r="Z255" s="56" t="n">
        <f aca="false">ROUND(P254*(1+N(Debts!$D$5)/12),2)</f>
        <v>0</v>
      </c>
      <c r="AA255" s="56" t="n">
        <f aca="false">ROUND(Q254*(1+N(Debts!$D$6)/12),2)</f>
        <v>0</v>
      </c>
      <c r="AB255" s="56" t="n">
        <f aca="false">ROUND(R254*(1+N(Debts!$D$7)/12),2)</f>
        <v>0</v>
      </c>
      <c r="AC255" s="56" t="n">
        <f aca="false">ROUND(S254*(1+N(Debts!$D$8)/12),2)</f>
        <v>0</v>
      </c>
      <c r="AD255" s="56" t="n">
        <f aca="false">ROUND(T254*(1+N(Debts!$D$9)/12),2)</f>
        <v>0</v>
      </c>
      <c r="AE255" s="56" t="n">
        <f aca="false">ROUND(U254*(1+N(Debts!$D$10)/12),2)</f>
        <v>0</v>
      </c>
      <c r="AF255" s="56" t="n">
        <f aca="false">ROUND(V254*(1+N(Debts!$D$11)/12),2)</f>
        <v>0</v>
      </c>
      <c r="AG255" s="56" t="n">
        <f aca="false">ROUND(W254*(1+N(Debts!$D$12)/12),2)</f>
        <v>0</v>
      </c>
      <c r="AH255" s="56" t="n">
        <f aca="false">ROUND(X254*(1+N(Debts!$D$13)/12),2)</f>
        <v>0</v>
      </c>
      <c r="AI255" s="56" t="n">
        <f aca="false">ROUND(Y254*(1+N(Debts!$D$14)/12),2)</f>
        <v>0</v>
      </c>
      <c r="AJ255" s="56" t="n">
        <f aca="false">MIN(Z255,MAX(0,N(Debts!$E$5)))</f>
        <v>0</v>
      </c>
      <c r="AK255" s="56" t="n">
        <f aca="false">MIN(AA255,MAX(0,N(Debts!$E$6)))</f>
        <v>0</v>
      </c>
      <c r="AL255" s="56" t="n">
        <f aca="false">MIN(AB255,MAX(0,N(Debts!$E$7)))</f>
        <v>0</v>
      </c>
      <c r="AM255" s="56" t="n">
        <f aca="false">MIN(AC255,MAX(0,N(Debts!$E$8)))</f>
        <v>0</v>
      </c>
      <c r="AN255" s="56" t="n">
        <f aca="false">MIN(AD255,MAX(0,N(Debts!$E$9)))</f>
        <v>0</v>
      </c>
      <c r="AO255" s="56" t="n">
        <f aca="false">MIN(AE255,MAX(0,N(Debts!$E$10)))</f>
        <v>0</v>
      </c>
      <c r="AP255" s="56" t="n">
        <f aca="false">MIN(AF255,MAX(0,N(Debts!$E$11)))</f>
        <v>0</v>
      </c>
      <c r="AQ255" s="56" t="n">
        <f aca="false">MIN(AG255,MAX(0,N(Debts!$E$12)))</f>
        <v>0</v>
      </c>
      <c r="AR255" s="56" t="n">
        <f aca="false">MIN(AH255,MAX(0,N(Debts!$E$13)))</f>
        <v>0</v>
      </c>
      <c r="AS255" s="56" t="n">
        <f aca="false">MIN(AI255,MAX(0,N(Debts!$E$14)))</f>
        <v>0</v>
      </c>
    </row>
    <row r="256" customFormat="false" ht="15" hidden="false" customHeight="false" outlineLevel="0" collapsed="false">
      <c r="A256" s="53" t="n">
        <v>252</v>
      </c>
      <c r="B256" s="54" t="n">
        <f aca="false">EDATE('Start Here'!$B$8,251)</f>
        <v>53966</v>
      </c>
      <c r="C256" s="42" t="n">
        <f aca="false">SUM(F256:O256)</f>
        <v>0</v>
      </c>
      <c r="D256" s="42" t="n">
        <f aca="false">ROUND(SUM($Z256:$AI256)-SUM(P255:Y255),2)</f>
        <v>0</v>
      </c>
      <c r="E256" s="55" t="n">
        <f aca="false">SUM(P256:Y256)</f>
        <v>0</v>
      </c>
      <c r="F256" s="42" t="n">
        <f aca="false">AJ256+MIN(Z256-AJ256,MAX(0,'Start Here'!$B$10-SUM($AJ256:$AS256)-SUMPRODUCT(($Z$3:$AI$3&lt;Z$3)*($Z256:$AI256-$AJ256:$AS256))))</f>
        <v>0</v>
      </c>
      <c r="G256" s="42" t="n">
        <f aca="false">AK256+MIN(AA256-AK256,MAX(0,'Start Here'!$B$10-SUM($AJ256:$AS256)-SUMPRODUCT(($Z$3:$AI$3&lt;AA$3)*($Z256:$AI256-$AJ256:$AS256))))</f>
        <v>0</v>
      </c>
      <c r="H256" s="42" t="n">
        <f aca="false">AL256+MIN(AB256-AL256,MAX(0,'Start Here'!$B$10-SUM($AJ256:$AS256)-SUMPRODUCT(($Z$3:$AI$3&lt;AB$3)*($Z256:$AI256-$AJ256:$AS256))))</f>
        <v>0</v>
      </c>
      <c r="I256" s="42" t="n">
        <f aca="false">AM256+MIN(AC256-AM256,MAX(0,'Start Here'!$B$10-SUM($AJ256:$AS256)-SUMPRODUCT(($Z$3:$AI$3&lt;AC$3)*($Z256:$AI256-$AJ256:$AS256))))</f>
        <v>0</v>
      </c>
      <c r="J256" s="42" t="n">
        <f aca="false">AN256+MIN(AD256-AN256,MAX(0,'Start Here'!$B$10-SUM($AJ256:$AS256)-SUMPRODUCT(($Z$3:$AI$3&lt;AD$3)*($Z256:$AI256-$AJ256:$AS256))))</f>
        <v>0</v>
      </c>
      <c r="K256" s="42" t="n">
        <f aca="false">AO256+MIN(AE256-AO256,MAX(0,'Start Here'!$B$10-SUM($AJ256:$AS256)-SUMPRODUCT(($Z$3:$AI$3&lt;AE$3)*($Z256:$AI256-$AJ256:$AS256))))</f>
        <v>0</v>
      </c>
      <c r="L256" s="42" t="n">
        <f aca="false">AP256+MIN(AF256-AP256,MAX(0,'Start Here'!$B$10-SUM($AJ256:$AS256)-SUMPRODUCT(($Z$3:$AI$3&lt;AF$3)*($Z256:$AI256-$AJ256:$AS256))))</f>
        <v>0</v>
      </c>
      <c r="M256" s="42" t="n">
        <f aca="false">AQ256+MIN(AG256-AQ256,MAX(0,'Start Here'!$B$10-SUM($AJ256:$AS256)-SUMPRODUCT(($Z$3:$AI$3&lt;AG$3)*($Z256:$AI256-$AJ256:$AS256))))</f>
        <v>0</v>
      </c>
      <c r="N256" s="42" t="n">
        <f aca="false">AR256+MIN(AH256-AR256,MAX(0,'Start Here'!$B$10-SUM($AJ256:$AS256)-SUMPRODUCT(($Z$3:$AI$3&lt;AH$3)*($Z256:$AI256-$AJ256:$AS256))))</f>
        <v>0</v>
      </c>
      <c r="O256" s="42" t="n">
        <f aca="false">AS256+MIN(AI256-AS256,MAX(0,'Start Here'!$B$10-SUM($AJ256:$AS256)-SUMPRODUCT(($Z$3:$AI$3&lt;AI$3)*($Z256:$AI256-$AJ256:$AS256))))</f>
        <v>0</v>
      </c>
      <c r="P256" s="42" t="n">
        <f aca="false">ROUND(Z256-F256,2)</f>
        <v>0</v>
      </c>
      <c r="Q256" s="42" t="n">
        <f aca="false">ROUND(AA256-G256,2)</f>
        <v>0</v>
      </c>
      <c r="R256" s="42" t="n">
        <f aca="false">ROUND(AB256-H256,2)</f>
        <v>0</v>
      </c>
      <c r="S256" s="42" t="n">
        <f aca="false">ROUND(AC256-I256,2)</f>
        <v>0</v>
      </c>
      <c r="T256" s="42" t="n">
        <f aca="false">ROUND(AD256-J256,2)</f>
        <v>0</v>
      </c>
      <c r="U256" s="42" t="n">
        <f aca="false">ROUND(AE256-K256,2)</f>
        <v>0</v>
      </c>
      <c r="V256" s="42" t="n">
        <f aca="false">ROUND(AF256-L256,2)</f>
        <v>0</v>
      </c>
      <c r="W256" s="42" t="n">
        <f aca="false">ROUND(AG256-M256,2)</f>
        <v>0</v>
      </c>
      <c r="X256" s="42" t="n">
        <f aca="false">ROUND(AH256-N256,2)</f>
        <v>0</v>
      </c>
      <c r="Y256" s="42" t="n">
        <f aca="false">ROUND(AI256-O256,2)</f>
        <v>0</v>
      </c>
      <c r="Z256" s="56" t="n">
        <f aca="false">ROUND(P255*(1+N(Debts!$D$5)/12),2)</f>
        <v>0</v>
      </c>
      <c r="AA256" s="56" t="n">
        <f aca="false">ROUND(Q255*(1+N(Debts!$D$6)/12),2)</f>
        <v>0</v>
      </c>
      <c r="AB256" s="56" t="n">
        <f aca="false">ROUND(R255*(1+N(Debts!$D$7)/12),2)</f>
        <v>0</v>
      </c>
      <c r="AC256" s="56" t="n">
        <f aca="false">ROUND(S255*(1+N(Debts!$D$8)/12),2)</f>
        <v>0</v>
      </c>
      <c r="AD256" s="56" t="n">
        <f aca="false">ROUND(T255*(1+N(Debts!$D$9)/12),2)</f>
        <v>0</v>
      </c>
      <c r="AE256" s="56" t="n">
        <f aca="false">ROUND(U255*(1+N(Debts!$D$10)/12),2)</f>
        <v>0</v>
      </c>
      <c r="AF256" s="56" t="n">
        <f aca="false">ROUND(V255*(1+N(Debts!$D$11)/12),2)</f>
        <v>0</v>
      </c>
      <c r="AG256" s="56" t="n">
        <f aca="false">ROUND(W255*(1+N(Debts!$D$12)/12),2)</f>
        <v>0</v>
      </c>
      <c r="AH256" s="56" t="n">
        <f aca="false">ROUND(X255*(1+N(Debts!$D$13)/12),2)</f>
        <v>0</v>
      </c>
      <c r="AI256" s="56" t="n">
        <f aca="false">ROUND(Y255*(1+N(Debts!$D$14)/12),2)</f>
        <v>0</v>
      </c>
      <c r="AJ256" s="56" t="n">
        <f aca="false">MIN(Z256,MAX(0,N(Debts!$E$5)))</f>
        <v>0</v>
      </c>
      <c r="AK256" s="56" t="n">
        <f aca="false">MIN(AA256,MAX(0,N(Debts!$E$6)))</f>
        <v>0</v>
      </c>
      <c r="AL256" s="56" t="n">
        <f aca="false">MIN(AB256,MAX(0,N(Debts!$E$7)))</f>
        <v>0</v>
      </c>
      <c r="AM256" s="56" t="n">
        <f aca="false">MIN(AC256,MAX(0,N(Debts!$E$8)))</f>
        <v>0</v>
      </c>
      <c r="AN256" s="56" t="n">
        <f aca="false">MIN(AD256,MAX(0,N(Debts!$E$9)))</f>
        <v>0</v>
      </c>
      <c r="AO256" s="56" t="n">
        <f aca="false">MIN(AE256,MAX(0,N(Debts!$E$10)))</f>
        <v>0</v>
      </c>
      <c r="AP256" s="56" t="n">
        <f aca="false">MIN(AF256,MAX(0,N(Debts!$E$11)))</f>
        <v>0</v>
      </c>
      <c r="AQ256" s="56" t="n">
        <f aca="false">MIN(AG256,MAX(0,N(Debts!$E$12)))</f>
        <v>0</v>
      </c>
      <c r="AR256" s="56" t="n">
        <f aca="false">MIN(AH256,MAX(0,N(Debts!$E$13)))</f>
        <v>0</v>
      </c>
      <c r="AS256" s="56" t="n">
        <f aca="false">MIN(AI256,MAX(0,N(Debts!$E$14)))</f>
        <v>0</v>
      </c>
    </row>
    <row r="257" customFormat="false" ht="15" hidden="false" customHeight="false" outlineLevel="0" collapsed="false">
      <c r="A257" s="53" t="n">
        <v>253</v>
      </c>
      <c r="B257" s="54" t="n">
        <f aca="false">EDATE('Start Here'!$B$8,252)</f>
        <v>53997</v>
      </c>
      <c r="C257" s="42" t="n">
        <f aca="false">SUM(F257:O257)</f>
        <v>0</v>
      </c>
      <c r="D257" s="42" t="n">
        <f aca="false">ROUND(SUM($Z257:$AI257)-SUM(P256:Y256),2)</f>
        <v>0</v>
      </c>
      <c r="E257" s="55" t="n">
        <f aca="false">SUM(P257:Y257)</f>
        <v>0</v>
      </c>
      <c r="F257" s="42" t="n">
        <f aca="false">AJ257+MIN(Z257-AJ257,MAX(0,'Start Here'!$B$10-SUM($AJ257:$AS257)-SUMPRODUCT(($Z$3:$AI$3&lt;Z$3)*($Z257:$AI257-$AJ257:$AS257))))</f>
        <v>0</v>
      </c>
      <c r="G257" s="42" t="n">
        <f aca="false">AK257+MIN(AA257-AK257,MAX(0,'Start Here'!$B$10-SUM($AJ257:$AS257)-SUMPRODUCT(($Z$3:$AI$3&lt;AA$3)*($Z257:$AI257-$AJ257:$AS257))))</f>
        <v>0</v>
      </c>
      <c r="H257" s="42" t="n">
        <f aca="false">AL257+MIN(AB257-AL257,MAX(0,'Start Here'!$B$10-SUM($AJ257:$AS257)-SUMPRODUCT(($Z$3:$AI$3&lt;AB$3)*($Z257:$AI257-$AJ257:$AS257))))</f>
        <v>0</v>
      </c>
      <c r="I257" s="42" t="n">
        <f aca="false">AM257+MIN(AC257-AM257,MAX(0,'Start Here'!$B$10-SUM($AJ257:$AS257)-SUMPRODUCT(($Z$3:$AI$3&lt;AC$3)*($Z257:$AI257-$AJ257:$AS257))))</f>
        <v>0</v>
      </c>
      <c r="J257" s="42" t="n">
        <f aca="false">AN257+MIN(AD257-AN257,MAX(0,'Start Here'!$B$10-SUM($AJ257:$AS257)-SUMPRODUCT(($Z$3:$AI$3&lt;AD$3)*($Z257:$AI257-$AJ257:$AS257))))</f>
        <v>0</v>
      </c>
      <c r="K257" s="42" t="n">
        <f aca="false">AO257+MIN(AE257-AO257,MAX(0,'Start Here'!$B$10-SUM($AJ257:$AS257)-SUMPRODUCT(($Z$3:$AI$3&lt;AE$3)*($Z257:$AI257-$AJ257:$AS257))))</f>
        <v>0</v>
      </c>
      <c r="L257" s="42" t="n">
        <f aca="false">AP257+MIN(AF257-AP257,MAX(0,'Start Here'!$B$10-SUM($AJ257:$AS257)-SUMPRODUCT(($Z$3:$AI$3&lt;AF$3)*($Z257:$AI257-$AJ257:$AS257))))</f>
        <v>0</v>
      </c>
      <c r="M257" s="42" t="n">
        <f aca="false">AQ257+MIN(AG257-AQ257,MAX(0,'Start Here'!$B$10-SUM($AJ257:$AS257)-SUMPRODUCT(($Z$3:$AI$3&lt;AG$3)*($Z257:$AI257-$AJ257:$AS257))))</f>
        <v>0</v>
      </c>
      <c r="N257" s="42" t="n">
        <f aca="false">AR257+MIN(AH257-AR257,MAX(0,'Start Here'!$B$10-SUM($AJ257:$AS257)-SUMPRODUCT(($Z$3:$AI$3&lt;AH$3)*($Z257:$AI257-$AJ257:$AS257))))</f>
        <v>0</v>
      </c>
      <c r="O257" s="42" t="n">
        <f aca="false">AS257+MIN(AI257-AS257,MAX(0,'Start Here'!$B$10-SUM($AJ257:$AS257)-SUMPRODUCT(($Z$3:$AI$3&lt;AI$3)*($Z257:$AI257-$AJ257:$AS257))))</f>
        <v>0</v>
      </c>
      <c r="P257" s="42" t="n">
        <f aca="false">ROUND(Z257-F257,2)</f>
        <v>0</v>
      </c>
      <c r="Q257" s="42" t="n">
        <f aca="false">ROUND(AA257-G257,2)</f>
        <v>0</v>
      </c>
      <c r="R257" s="42" t="n">
        <f aca="false">ROUND(AB257-H257,2)</f>
        <v>0</v>
      </c>
      <c r="S257" s="42" t="n">
        <f aca="false">ROUND(AC257-I257,2)</f>
        <v>0</v>
      </c>
      <c r="T257" s="42" t="n">
        <f aca="false">ROUND(AD257-J257,2)</f>
        <v>0</v>
      </c>
      <c r="U257" s="42" t="n">
        <f aca="false">ROUND(AE257-K257,2)</f>
        <v>0</v>
      </c>
      <c r="V257" s="42" t="n">
        <f aca="false">ROUND(AF257-L257,2)</f>
        <v>0</v>
      </c>
      <c r="W257" s="42" t="n">
        <f aca="false">ROUND(AG257-M257,2)</f>
        <v>0</v>
      </c>
      <c r="X257" s="42" t="n">
        <f aca="false">ROUND(AH257-N257,2)</f>
        <v>0</v>
      </c>
      <c r="Y257" s="42" t="n">
        <f aca="false">ROUND(AI257-O257,2)</f>
        <v>0</v>
      </c>
      <c r="Z257" s="56" t="n">
        <f aca="false">ROUND(P256*(1+N(Debts!$D$5)/12),2)</f>
        <v>0</v>
      </c>
      <c r="AA257" s="56" t="n">
        <f aca="false">ROUND(Q256*(1+N(Debts!$D$6)/12),2)</f>
        <v>0</v>
      </c>
      <c r="AB257" s="56" t="n">
        <f aca="false">ROUND(R256*(1+N(Debts!$D$7)/12),2)</f>
        <v>0</v>
      </c>
      <c r="AC257" s="56" t="n">
        <f aca="false">ROUND(S256*(1+N(Debts!$D$8)/12),2)</f>
        <v>0</v>
      </c>
      <c r="AD257" s="56" t="n">
        <f aca="false">ROUND(T256*(1+N(Debts!$D$9)/12),2)</f>
        <v>0</v>
      </c>
      <c r="AE257" s="56" t="n">
        <f aca="false">ROUND(U256*(1+N(Debts!$D$10)/12),2)</f>
        <v>0</v>
      </c>
      <c r="AF257" s="56" t="n">
        <f aca="false">ROUND(V256*(1+N(Debts!$D$11)/12),2)</f>
        <v>0</v>
      </c>
      <c r="AG257" s="56" t="n">
        <f aca="false">ROUND(W256*(1+N(Debts!$D$12)/12),2)</f>
        <v>0</v>
      </c>
      <c r="AH257" s="56" t="n">
        <f aca="false">ROUND(X256*(1+N(Debts!$D$13)/12),2)</f>
        <v>0</v>
      </c>
      <c r="AI257" s="56" t="n">
        <f aca="false">ROUND(Y256*(1+N(Debts!$D$14)/12),2)</f>
        <v>0</v>
      </c>
      <c r="AJ257" s="56" t="n">
        <f aca="false">MIN(Z257,MAX(0,N(Debts!$E$5)))</f>
        <v>0</v>
      </c>
      <c r="AK257" s="56" t="n">
        <f aca="false">MIN(AA257,MAX(0,N(Debts!$E$6)))</f>
        <v>0</v>
      </c>
      <c r="AL257" s="56" t="n">
        <f aca="false">MIN(AB257,MAX(0,N(Debts!$E$7)))</f>
        <v>0</v>
      </c>
      <c r="AM257" s="56" t="n">
        <f aca="false">MIN(AC257,MAX(0,N(Debts!$E$8)))</f>
        <v>0</v>
      </c>
      <c r="AN257" s="56" t="n">
        <f aca="false">MIN(AD257,MAX(0,N(Debts!$E$9)))</f>
        <v>0</v>
      </c>
      <c r="AO257" s="56" t="n">
        <f aca="false">MIN(AE257,MAX(0,N(Debts!$E$10)))</f>
        <v>0</v>
      </c>
      <c r="AP257" s="56" t="n">
        <f aca="false">MIN(AF257,MAX(0,N(Debts!$E$11)))</f>
        <v>0</v>
      </c>
      <c r="AQ257" s="56" t="n">
        <f aca="false">MIN(AG257,MAX(0,N(Debts!$E$12)))</f>
        <v>0</v>
      </c>
      <c r="AR257" s="56" t="n">
        <f aca="false">MIN(AH257,MAX(0,N(Debts!$E$13)))</f>
        <v>0</v>
      </c>
      <c r="AS257" s="56" t="n">
        <f aca="false">MIN(AI257,MAX(0,N(Debts!$E$14)))</f>
        <v>0</v>
      </c>
    </row>
    <row r="258" customFormat="false" ht="15" hidden="false" customHeight="false" outlineLevel="0" collapsed="false">
      <c r="A258" s="53" t="n">
        <v>254</v>
      </c>
      <c r="B258" s="54" t="n">
        <f aca="false">EDATE('Start Here'!$B$8,253)</f>
        <v>54027</v>
      </c>
      <c r="C258" s="42" t="n">
        <f aca="false">SUM(F258:O258)</f>
        <v>0</v>
      </c>
      <c r="D258" s="42" t="n">
        <f aca="false">ROUND(SUM($Z258:$AI258)-SUM(P257:Y257),2)</f>
        <v>0</v>
      </c>
      <c r="E258" s="55" t="n">
        <f aca="false">SUM(P258:Y258)</f>
        <v>0</v>
      </c>
      <c r="F258" s="42" t="n">
        <f aca="false">AJ258+MIN(Z258-AJ258,MAX(0,'Start Here'!$B$10-SUM($AJ258:$AS258)-SUMPRODUCT(($Z$3:$AI$3&lt;Z$3)*($Z258:$AI258-$AJ258:$AS258))))</f>
        <v>0</v>
      </c>
      <c r="G258" s="42" t="n">
        <f aca="false">AK258+MIN(AA258-AK258,MAX(0,'Start Here'!$B$10-SUM($AJ258:$AS258)-SUMPRODUCT(($Z$3:$AI$3&lt;AA$3)*($Z258:$AI258-$AJ258:$AS258))))</f>
        <v>0</v>
      </c>
      <c r="H258" s="42" t="n">
        <f aca="false">AL258+MIN(AB258-AL258,MAX(0,'Start Here'!$B$10-SUM($AJ258:$AS258)-SUMPRODUCT(($Z$3:$AI$3&lt;AB$3)*($Z258:$AI258-$AJ258:$AS258))))</f>
        <v>0</v>
      </c>
      <c r="I258" s="42" t="n">
        <f aca="false">AM258+MIN(AC258-AM258,MAX(0,'Start Here'!$B$10-SUM($AJ258:$AS258)-SUMPRODUCT(($Z$3:$AI$3&lt;AC$3)*($Z258:$AI258-$AJ258:$AS258))))</f>
        <v>0</v>
      </c>
      <c r="J258" s="42" t="n">
        <f aca="false">AN258+MIN(AD258-AN258,MAX(0,'Start Here'!$B$10-SUM($AJ258:$AS258)-SUMPRODUCT(($Z$3:$AI$3&lt;AD$3)*($Z258:$AI258-$AJ258:$AS258))))</f>
        <v>0</v>
      </c>
      <c r="K258" s="42" t="n">
        <f aca="false">AO258+MIN(AE258-AO258,MAX(0,'Start Here'!$B$10-SUM($AJ258:$AS258)-SUMPRODUCT(($Z$3:$AI$3&lt;AE$3)*($Z258:$AI258-$AJ258:$AS258))))</f>
        <v>0</v>
      </c>
      <c r="L258" s="42" t="n">
        <f aca="false">AP258+MIN(AF258-AP258,MAX(0,'Start Here'!$B$10-SUM($AJ258:$AS258)-SUMPRODUCT(($Z$3:$AI$3&lt;AF$3)*($Z258:$AI258-$AJ258:$AS258))))</f>
        <v>0</v>
      </c>
      <c r="M258" s="42" t="n">
        <f aca="false">AQ258+MIN(AG258-AQ258,MAX(0,'Start Here'!$B$10-SUM($AJ258:$AS258)-SUMPRODUCT(($Z$3:$AI$3&lt;AG$3)*($Z258:$AI258-$AJ258:$AS258))))</f>
        <v>0</v>
      </c>
      <c r="N258" s="42" t="n">
        <f aca="false">AR258+MIN(AH258-AR258,MAX(0,'Start Here'!$B$10-SUM($AJ258:$AS258)-SUMPRODUCT(($Z$3:$AI$3&lt;AH$3)*($Z258:$AI258-$AJ258:$AS258))))</f>
        <v>0</v>
      </c>
      <c r="O258" s="42" t="n">
        <f aca="false">AS258+MIN(AI258-AS258,MAX(0,'Start Here'!$B$10-SUM($AJ258:$AS258)-SUMPRODUCT(($Z$3:$AI$3&lt;AI$3)*($Z258:$AI258-$AJ258:$AS258))))</f>
        <v>0</v>
      </c>
      <c r="P258" s="42" t="n">
        <f aca="false">ROUND(Z258-F258,2)</f>
        <v>0</v>
      </c>
      <c r="Q258" s="42" t="n">
        <f aca="false">ROUND(AA258-G258,2)</f>
        <v>0</v>
      </c>
      <c r="R258" s="42" t="n">
        <f aca="false">ROUND(AB258-H258,2)</f>
        <v>0</v>
      </c>
      <c r="S258" s="42" t="n">
        <f aca="false">ROUND(AC258-I258,2)</f>
        <v>0</v>
      </c>
      <c r="T258" s="42" t="n">
        <f aca="false">ROUND(AD258-J258,2)</f>
        <v>0</v>
      </c>
      <c r="U258" s="42" t="n">
        <f aca="false">ROUND(AE258-K258,2)</f>
        <v>0</v>
      </c>
      <c r="V258" s="42" t="n">
        <f aca="false">ROUND(AF258-L258,2)</f>
        <v>0</v>
      </c>
      <c r="W258" s="42" t="n">
        <f aca="false">ROUND(AG258-M258,2)</f>
        <v>0</v>
      </c>
      <c r="X258" s="42" t="n">
        <f aca="false">ROUND(AH258-N258,2)</f>
        <v>0</v>
      </c>
      <c r="Y258" s="42" t="n">
        <f aca="false">ROUND(AI258-O258,2)</f>
        <v>0</v>
      </c>
      <c r="Z258" s="56" t="n">
        <f aca="false">ROUND(P257*(1+N(Debts!$D$5)/12),2)</f>
        <v>0</v>
      </c>
      <c r="AA258" s="56" t="n">
        <f aca="false">ROUND(Q257*(1+N(Debts!$D$6)/12),2)</f>
        <v>0</v>
      </c>
      <c r="AB258" s="56" t="n">
        <f aca="false">ROUND(R257*(1+N(Debts!$D$7)/12),2)</f>
        <v>0</v>
      </c>
      <c r="AC258" s="56" t="n">
        <f aca="false">ROUND(S257*(1+N(Debts!$D$8)/12),2)</f>
        <v>0</v>
      </c>
      <c r="AD258" s="56" t="n">
        <f aca="false">ROUND(T257*(1+N(Debts!$D$9)/12),2)</f>
        <v>0</v>
      </c>
      <c r="AE258" s="56" t="n">
        <f aca="false">ROUND(U257*(1+N(Debts!$D$10)/12),2)</f>
        <v>0</v>
      </c>
      <c r="AF258" s="56" t="n">
        <f aca="false">ROUND(V257*(1+N(Debts!$D$11)/12),2)</f>
        <v>0</v>
      </c>
      <c r="AG258" s="56" t="n">
        <f aca="false">ROUND(W257*(1+N(Debts!$D$12)/12),2)</f>
        <v>0</v>
      </c>
      <c r="AH258" s="56" t="n">
        <f aca="false">ROUND(X257*(1+N(Debts!$D$13)/12),2)</f>
        <v>0</v>
      </c>
      <c r="AI258" s="56" t="n">
        <f aca="false">ROUND(Y257*(1+N(Debts!$D$14)/12),2)</f>
        <v>0</v>
      </c>
      <c r="AJ258" s="56" t="n">
        <f aca="false">MIN(Z258,MAX(0,N(Debts!$E$5)))</f>
        <v>0</v>
      </c>
      <c r="AK258" s="56" t="n">
        <f aca="false">MIN(AA258,MAX(0,N(Debts!$E$6)))</f>
        <v>0</v>
      </c>
      <c r="AL258" s="56" t="n">
        <f aca="false">MIN(AB258,MAX(0,N(Debts!$E$7)))</f>
        <v>0</v>
      </c>
      <c r="AM258" s="56" t="n">
        <f aca="false">MIN(AC258,MAX(0,N(Debts!$E$8)))</f>
        <v>0</v>
      </c>
      <c r="AN258" s="56" t="n">
        <f aca="false">MIN(AD258,MAX(0,N(Debts!$E$9)))</f>
        <v>0</v>
      </c>
      <c r="AO258" s="56" t="n">
        <f aca="false">MIN(AE258,MAX(0,N(Debts!$E$10)))</f>
        <v>0</v>
      </c>
      <c r="AP258" s="56" t="n">
        <f aca="false">MIN(AF258,MAX(0,N(Debts!$E$11)))</f>
        <v>0</v>
      </c>
      <c r="AQ258" s="56" t="n">
        <f aca="false">MIN(AG258,MAX(0,N(Debts!$E$12)))</f>
        <v>0</v>
      </c>
      <c r="AR258" s="56" t="n">
        <f aca="false">MIN(AH258,MAX(0,N(Debts!$E$13)))</f>
        <v>0</v>
      </c>
      <c r="AS258" s="56" t="n">
        <f aca="false">MIN(AI258,MAX(0,N(Debts!$E$14)))</f>
        <v>0</v>
      </c>
    </row>
    <row r="259" customFormat="false" ht="15" hidden="false" customHeight="false" outlineLevel="0" collapsed="false">
      <c r="A259" s="53" t="n">
        <v>255</v>
      </c>
      <c r="B259" s="54" t="n">
        <f aca="false">EDATE('Start Here'!$B$8,254)</f>
        <v>54058</v>
      </c>
      <c r="C259" s="42" t="n">
        <f aca="false">SUM(F259:O259)</f>
        <v>0</v>
      </c>
      <c r="D259" s="42" t="n">
        <f aca="false">ROUND(SUM($Z259:$AI259)-SUM(P258:Y258),2)</f>
        <v>0</v>
      </c>
      <c r="E259" s="55" t="n">
        <f aca="false">SUM(P259:Y259)</f>
        <v>0</v>
      </c>
      <c r="F259" s="42" t="n">
        <f aca="false">AJ259+MIN(Z259-AJ259,MAX(0,'Start Here'!$B$10-SUM($AJ259:$AS259)-SUMPRODUCT(($Z$3:$AI$3&lt;Z$3)*($Z259:$AI259-$AJ259:$AS259))))</f>
        <v>0</v>
      </c>
      <c r="G259" s="42" t="n">
        <f aca="false">AK259+MIN(AA259-AK259,MAX(0,'Start Here'!$B$10-SUM($AJ259:$AS259)-SUMPRODUCT(($Z$3:$AI$3&lt;AA$3)*($Z259:$AI259-$AJ259:$AS259))))</f>
        <v>0</v>
      </c>
      <c r="H259" s="42" t="n">
        <f aca="false">AL259+MIN(AB259-AL259,MAX(0,'Start Here'!$B$10-SUM($AJ259:$AS259)-SUMPRODUCT(($Z$3:$AI$3&lt;AB$3)*($Z259:$AI259-$AJ259:$AS259))))</f>
        <v>0</v>
      </c>
      <c r="I259" s="42" t="n">
        <f aca="false">AM259+MIN(AC259-AM259,MAX(0,'Start Here'!$B$10-SUM($AJ259:$AS259)-SUMPRODUCT(($Z$3:$AI$3&lt;AC$3)*($Z259:$AI259-$AJ259:$AS259))))</f>
        <v>0</v>
      </c>
      <c r="J259" s="42" t="n">
        <f aca="false">AN259+MIN(AD259-AN259,MAX(0,'Start Here'!$B$10-SUM($AJ259:$AS259)-SUMPRODUCT(($Z$3:$AI$3&lt;AD$3)*($Z259:$AI259-$AJ259:$AS259))))</f>
        <v>0</v>
      </c>
      <c r="K259" s="42" t="n">
        <f aca="false">AO259+MIN(AE259-AO259,MAX(0,'Start Here'!$B$10-SUM($AJ259:$AS259)-SUMPRODUCT(($Z$3:$AI$3&lt;AE$3)*($Z259:$AI259-$AJ259:$AS259))))</f>
        <v>0</v>
      </c>
      <c r="L259" s="42" t="n">
        <f aca="false">AP259+MIN(AF259-AP259,MAX(0,'Start Here'!$B$10-SUM($AJ259:$AS259)-SUMPRODUCT(($Z$3:$AI$3&lt;AF$3)*($Z259:$AI259-$AJ259:$AS259))))</f>
        <v>0</v>
      </c>
      <c r="M259" s="42" t="n">
        <f aca="false">AQ259+MIN(AG259-AQ259,MAX(0,'Start Here'!$B$10-SUM($AJ259:$AS259)-SUMPRODUCT(($Z$3:$AI$3&lt;AG$3)*($Z259:$AI259-$AJ259:$AS259))))</f>
        <v>0</v>
      </c>
      <c r="N259" s="42" t="n">
        <f aca="false">AR259+MIN(AH259-AR259,MAX(0,'Start Here'!$B$10-SUM($AJ259:$AS259)-SUMPRODUCT(($Z$3:$AI$3&lt;AH$3)*($Z259:$AI259-$AJ259:$AS259))))</f>
        <v>0</v>
      </c>
      <c r="O259" s="42" t="n">
        <f aca="false">AS259+MIN(AI259-AS259,MAX(0,'Start Here'!$B$10-SUM($AJ259:$AS259)-SUMPRODUCT(($Z$3:$AI$3&lt;AI$3)*($Z259:$AI259-$AJ259:$AS259))))</f>
        <v>0</v>
      </c>
      <c r="P259" s="42" t="n">
        <f aca="false">ROUND(Z259-F259,2)</f>
        <v>0</v>
      </c>
      <c r="Q259" s="42" t="n">
        <f aca="false">ROUND(AA259-G259,2)</f>
        <v>0</v>
      </c>
      <c r="R259" s="42" t="n">
        <f aca="false">ROUND(AB259-H259,2)</f>
        <v>0</v>
      </c>
      <c r="S259" s="42" t="n">
        <f aca="false">ROUND(AC259-I259,2)</f>
        <v>0</v>
      </c>
      <c r="T259" s="42" t="n">
        <f aca="false">ROUND(AD259-J259,2)</f>
        <v>0</v>
      </c>
      <c r="U259" s="42" t="n">
        <f aca="false">ROUND(AE259-K259,2)</f>
        <v>0</v>
      </c>
      <c r="V259" s="42" t="n">
        <f aca="false">ROUND(AF259-L259,2)</f>
        <v>0</v>
      </c>
      <c r="W259" s="42" t="n">
        <f aca="false">ROUND(AG259-M259,2)</f>
        <v>0</v>
      </c>
      <c r="X259" s="42" t="n">
        <f aca="false">ROUND(AH259-N259,2)</f>
        <v>0</v>
      </c>
      <c r="Y259" s="42" t="n">
        <f aca="false">ROUND(AI259-O259,2)</f>
        <v>0</v>
      </c>
      <c r="Z259" s="56" t="n">
        <f aca="false">ROUND(P258*(1+N(Debts!$D$5)/12),2)</f>
        <v>0</v>
      </c>
      <c r="AA259" s="56" t="n">
        <f aca="false">ROUND(Q258*(1+N(Debts!$D$6)/12),2)</f>
        <v>0</v>
      </c>
      <c r="AB259" s="56" t="n">
        <f aca="false">ROUND(R258*(1+N(Debts!$D$7)/12),2)</f>
        <v>0</v>
      </c>
      <c r="AC259" s="56" t="n">
        <f aca="false">ROUND(S258*(1+N(Debts!$D$8)/12),2)</f>
        <v>0</v>
      </c>
      <c r="AD259" s="56" t="n">
        <f aca="false">ROUND(T258*(1+N(Debts!$D$9)/12),2)</f>
        <v>0</v>
      </c>
      <c r="AE259" s="56" t="n">
        <f aca="false">ROUND(U258*(1+N(Debts!$D$10)/12),2)</f>
        <v>0</v>
      </c>
      <c r="AF259" s="56" t="n">
        <f aca="false">ROUND(V258*(1+N(Debts!$D$11)/12),2)</f>
        <v>0</v>
      </c>
      <c r="AG259" s="56" t="n">
        <f aca="false">ROUND(W258*(1+N(Debts!$D$12)/12),2)</f>
        <v>0</v>
      </c>
      <c r="AH259" s="56" t="n">
        <f aca="false">ROUND(X258*(1+N(Debts!$D$13)/12),2)</f>
        <v>0</v>
      </c>
      <c r="AI259" s="56" t="n">
        <f aca="false">ROUND(Y258*(1+N(Debts!$D$14)/12),2)</f>
        <v>0</v>
      </c>
      <c r="AJ259" s="56" t="n">
        <f aca="false">MIN(Z259,MAX(0,N(Debts!$E$5)))</f>
        <v>0</v>
      </c>
      <c r="AK259" s="56" t="n">
        <f aca="false">MIN(AA259,MAX(0,N(Debts!$E$6)))</f>
        <v>0</v>
      </c>
      <c r="AL259" s="56" t="n">
        <f aca="false">MIN(AB259,MAX(0,N(Debts!$E$7)))</f>
        <v>0</v>
      </c>
      <c r="AM259" s="56" t="n">
        <f aca="false">MIN(AC259,MAX(0,N(Debts!$E$8)))</f>
        <v>0</v>
      </c>
      <c r="AN259" s="56" t="n">
        <f aca="false">MIN(AD259,MAX(0,N(Debts!$E$9)))</f>
        <v>0</v>
      </c>
      <c r="AO259" s="56" t="n">
        <f aca="false">MIN(AE259,MAX(0,N(Debts!$E$10)))</f>
        <v>0</v>
      </c>
      <c r="AP259" s="56" t="n">
        <f aca="false">MIN(AF259,MAX(0,N(Debts!$E$11)))</f>
        <v>0</v>
      </c>
      <c r="AQ259" s="56" t="n">
        <f aca="false">MIN(AG259,MAX(0,N(Debts!$E$12)))</f>
        <v>0</v>
      </c>
      <c r="AR259" s="56" t="n">
        <f aca="false">MIN(AH259,MAX(0,N(Debts!$E$13)))</f>
        <v>0</v>
      </c>
      <c r="AS259" s="56" t="n">
        <f aca="false">MIN(AI259,MAX(0,N(Debts!$E$14)))</f>
        <v>0</v>
      </c>
    </row>
    <row r="260" customFormat="false" ht="15" hidden="false" customHeight="false" outlineLevel="0" collapsed="false">
      <c r="A260" s="53" t="n">
        <v>256</v>
      </c>
      <c r="B260" s="54" t="n">
        <f aca="false">EDATE('Start Here'!$B$8,255)</f>
        <v>54089</v>
      </c>
      <c r="C260" s="42" t="n">
        <f aca="false">SUM(F260:O260)</f>
        <v>0</v>
      </c>
      <c r="D260" s="42" t="n">
        <f aca="false">ROUND(SUM($Z260:$AI260)-SUM(P259:Y259),2)</f>
        <v>0</v>
      </c>
      <c r="E260" s="55" t="n">
        <f aca="false">SUM(P260:Y260)</f>
        <v>0</v>
      </c>
      <c r="F260" s="42" t="n">
        <f aca="false">AJ260+MIN(Z260-AJ260,MAX(0,'Start Here'!$B$10-SUM($AJ260:$AS260)-SUMPRODUCT(($Z$3:$AI$3&lt;Z$3)*($Z260:$AI260-$AJ260:$AS260))))</f>
        <v>0</v>
      </c>
      <c r="G260" s="42" t="n">
        <f aca="false">AK260+MIN(AA260-AK260,MAX(0,'Start Here'!$B$10-SUM($AJ260:$AS260)-SUMPRODUCT(($Z$3:$AI$3&lt;AA$3)*($Z260:$AI260-$AJ260:$AS260))))</f>
        <v>0</v>
      </c>
      <c r="H260" s="42" t="n">
        <f aca="false">AL260+MIN(AB260-AL260,MAX(0,'Start Here'!$B$10-SUM($AJ260:$AS260)-SUMPRODUCT(($Z$3:$AI$3&lt;AB$3)*($Z260:$AI260-$AJ260:$AS260))))</f>
        <v>0</v>
      </c>
      <c r="I260" s="42" t="n">
        <f aca="false">AM260+MIN(AC260-AM260,MAX(0,'Start Here'!$B$10-SUM($AJ260:$AS260)-SUMPRODUCT(($Z$3:$AI$3&lt;AC$3)*($Z260:$AI260-$AJ260:$AS260))))</f>
        <v>0</v>
      </c>
      <c r="J260" s="42" t="n">
        <f aca="false">AN260+MIN(AD260-AN260,MAX(0,'Start Here'!$B$10-SUM($AJ260:$AS260)-SUMPRODUCT(($Z$3:$AI$3&lt;AD$3)*($Z260:$AI260-$AJ260:$AS260))))</f>
        <v>0</v>
      </c>
      <c r="K260" s="42" t="n">
        <f aca="false">AO260+MIN(AE260-AO260,MAX(0,'Start Here'!$B$10-SUM($AJ260:$AS260)-SUMPRODUCT(($Z$3:$AI$3&lt;AE$3)*($Z260:$AI260-$AJ260:$AS260))))</f>
        <v>0</v>
      </c>
      <c r="L260" s="42" t="n">
        <f aca="false">AP260+MIN(AF260-AP260,MAX(0,'Start Here'!$B$10-SUM($AJ260:$AS260)-SUMPRODUCT(($Z$3:$AI$3&lt;AF$3)*($Z260:$AI260-$AJ260:$AS260))))</f>
        <v>0</v>
      </c>
      <c r="M260" s="42" t="n">
        <f aca="false">AQ260+MIN(AG260-AQ260,MAX(0,'Start Here'!$B$10-SUM($AJ260:$AS260)-SUMPRODUCT(($Z$3:$AI$3&lt;AG$3)*($Z260:$AI260-$AJ260:$AS260))))</f>
        <v>0</v>
      </c>
      <c r="N260" s="42" t="n">
        <f aca="false">AR260+MIN(AH260-AR260,MAX(0,'Start Here'!$B$10-SUM($AJ260:$AS260)-SUMPRODUCT(($Z$3:$AI$3&lt;AH$3)*($Z260:$AI260-$AJ260:$AS260))))</f>
        <v>0</v>
      </c>
      <c r="O260" s="42" t="n">
        <f aca="false">AS260+MIN(AI260-AS260,MAX(0,'Start Here'!$B$10-SUM($AJ260:$AS260)-SUMPRODUCT(($Z$3:$AI$3&lt;AI$3)*($Z260:$AI260-$AJ260:$AS260))))</f>
        <v>0</v>
      </c>
      <c r="P260" s="42" t="n">
        <f aca="false">ROUND(Z260-F260,2)</f>
        <v>0</v>
      </c>
      <c r="Q260" s="42" t="n">
        <f aca="false">ROUND(AA260-G260,2)</f>
        <v>0</v>
      </c>
      <c r="R260" s="42" t="n">
        <f aca="false">ROUND(AB260-H260,2)</f>
        <v>0</v>
      </c>
      <c r="S260" s="42" t="n">
        <f aca="false">ROUND(AC260-I260,2)</f>
        <v>0</v>
      </c>
      <c r="T260" s="42" t="n">
        <f aca="false">ROUND(AD260-J260,2)</f>
        <v>0</v>
      </c>
      <c r="U260" s="42" t="n">
        <f aca="false">ROUND(AE260-K260,2)</f>
        <v>0</v>
      </c>
      <c r="V260" s="42" t="n">
        <f aca="false">ROUND(AF260-L260,2)</f>
        <v>0</v>
      </c>
      <c r="W260" s="42" t="n">
        <f aca="false">ROUND(AG260-M260,2)</f>
        <v>0</v>
      </c>
      <c r="X260" s="42" t="n">
        <f aca="false">ROUND(AH260-N260,2)</f>
        <v>0</v>
      </c>
      <c r="Y260" s="42" t="n">
        <f aca="false">ROUND(AI260-O260,2)</f>
        <v>0</v>
      </c>
      <c r="Z260" s="56" t="n">
        <f aca="false">ROUND(P259*(1+N(Debts!$D$5)/12),2)</f>
        <v>0</v>
      </c>
      <c r="AA260" s="56" t="n">
        <f aca="false">ROUND(Q259*(1+N(Debts!$D$6)/12),2)</f>
        <v>0</v>
      </c>
      <c r="AB260" s="56" t="n">
        <f aca="false">ROUND(R259*(1+N(Debts!$D$7)/12),2)</f>
        <v>0</v>
      </c>
      <c r="AC260" s="56" t="n">
        <f aca="false">ROUND(S259*(1+N(Debts!$D$8)/12),2)</f>
        <v>0</v>
      </c>
      <c r="AD260" s="56" t="n">
        <f aca="false">ROUND(T259*(1+N(Debts!$D$9)/12),2)</f>
        <v>0</v>
      </c>
      <c r="AE260" s="56" t="n">
        <f aca="false">ROUND(U259*(1+N(Debts!$D$10)/12),2)</f>
        <v>0</v>
      </c>
      <c r="AF260" s="56" t="n">
        <f aca="false">ROUND(V259*(1+N(Debts!$D$11)/12),2)</f>
        <v>0</v>
      </c>
      <c r="AG260" s="56" t="n">
        <f aca="false">ROUND(W259*(1+N(Debts!$D$12)/12),2)</f>
        <v>0</v>
      </c>
      <c r="AH260" s="56" t="n">
        <f aca="false">ROUND(X259*(1+N(Debts!$D$13)/12),2)</f>
        <v>0</v>
      </c>
      <c r="AI260" s="56" t="n">
        <f aca="false">ROUND(Y259*(1+N(Debts!$D$14)/12),2)</f>
        <v>0</v>
      </c>
      <c r="AJ260" s="56" t="n">
        <f aca="false">MIN(Z260,MAX(0,N(Debts!$E$5)))</f>
        <v>0</v>
      </c>
      <c r="AK260" s="56" t="n">
        <f aca="false">MIN(AA260,MAX(0,N(Debts!$E$6)))</f>
        <v>0</v>
      </c>
      <c r="AL260" s="56" t="n">
        <f aca="false">MIN(AB260,MAX(0,N(Debts!$E$7)))</f>
        <v>0</v>
      </c>
      <c r="AM260" s="56" t="n">
        <f aca="false">MIN(AC260,MAX(0,N(Debts!$E$8)))</f>
        <v>0</v>
      </c>
      <c r="AN260" s="56" t="n">
        <f aca="false">MIN(AD260,MAX(0,N(Debts!$E$9)))</f>
        <v>0</v>
      </c>
      <c r="AO260" s="56" t="n">
        <f aca="false">MIN(AE260,MAX(0,N(Debts!$E$10)))</f>
        <v>0</v>
      </c>
      <c r="AP260" s="56" t="n">
        <f aca="false">MIN(AF260,MAX(0,N(Debts!$E$11)))</f>
        <v>0</v>
      </c>
      <c r="AQ260" s="56" t="n">
        <f aca="false">MIN(AG260,MAX(0,N(Debts!$E$12)))</f>
        <v>0</v>
      </c>
      <c r="AR260" s="56" t="n">
        <f aca="false">MIN(AH260,MAX(0,N(Debts!$E$13)))</f>
        <v>0</v>
      </c>
      <c r="AS260" s="56" t="n">
        <f aca="false">MIN(AI260,MAX(0,N(Debts!$E$14)))</f>
        <v>0</v>
      </c>
    </row>
    <row r="261" customFormat="false" ht="15" hidden="false" customHeight="false" outlineLevel="0" collapsed="false">
      <c r="A261" s="53" t="n">
        <v>257</v>
      </c>
      <c r="B261" s="54" t="n">
        <f aca="false">EDATE('Start Here'!$B$8,256)</f>
        <v>54118</v>
      </c>
      <c r="C261" s="42" t="n">
        <f aca="false">SUM(F261:O261)</f>
        <v>0</v>
      </c>
      <c r="D261" s="42" t="n">
        <f aca="false">ROUND(SUM($Z261:$AI261)-SUM(P260:Y260),2)</f>
        <v>0</v>
      </c>
      <c r="E261" s="55" t="n">
        <f aca="false">SUM(P261:Y261)</f>
        <v>0</v>
      </c>
      <c r="F261" s="42" t="n">
        <f aca="false">AJ261+MIN(Z261-AJ261,MAX(0,'Start Here'!$B$10-SUM($AJ261:$AS261)-SUMPRODUCT(($Z$3:$AI$3&lt;Z$3)*($Z261:$AI261-$AJ261:$AS261))))</f>
        <v>0</v>
      </c>
      <c r="G261" s="42" t="n">
        <f aca="false">AK261+MIN(AA261-AK261,MAX(0,'Start Here'!$B$10-SUM($AJ261:$AS261)-SUMPRODUCT(($Z$3:$AI$3&lt;AA$3)*($Z261:$AI261-$AJ261:$AS261))))</f>
        <v>0</v>
      </c>
      <c r="H261" s="42" t="n">
        <f aca="false">AL261+MIN(AB261-AL261,MAX(0,'Start Here'!$B$10-SUM($AJ261:$AS261)-SUMPRODUCT(($Z$3:$AI$3&lt;AB$3)*($Z261:$AI261-$AJ261:$AS261))))</f>
        <v>0</v>
      </c>
      <c r="I261" s="42" t="n">
        <f aca="false">AM261+MIN(AC261-AM261,MAX(0,'Start Here'!$B$10-SUM($AJ261:$AS261)-SUMPRODUCT(($Z$3:$AI$3&lt;AC$3)*($Z261:$AI261-$AJ261:$AS261))))</f>
        <v>0</v>
      </c>
      <c r="J261" s="42" t="n">
        <f aca="false">AN261+MIN(AD261-AN261,MAX(0,'Start Here'!$B$10-SUM($AJ261:$AS261)-SUMPRODUCT(($Z$3:$AI$3&lt;AD$3)*($Z261:$AI261-$AJ261:$AS261))))</f>
        <v>0</v>
      </c>
      <c r="K261" s="42" t="n">
        <f aca="false">AO261+MIN(AE261-AO261,MAX(0,'Start Here'!$B$10-SUM($AJ261:$AS261)-SUMPRODUCT(($Z$3:$AI$3&lt;AE$3)*($Z261:$AI261-$AJ261:$AS261))))</f>
        <v>0</v>
      </c>
      <c r="L261" s="42" t="n">
        <f aca="false">AP261+MIN(AF261-AP261,MAX(0,'Start Here'!$B$10-SUM($AJ261:$AS261)-SUMPRODUCT(($Z$3:$AI$3&lt;AF$3)*($Z261:$AI261-$AJ261:$AS261))))</f>
        <v>0</v>
      </c>
      <c r="M261" s="42" t="n">
        <f aca="false">AQ261+MIN(AG261-AQ261,MAX(0,'Start Here'!$B$10-SUM($AJ261:$AS261)-SUMPRODUCT(($Z$3:$AI$3&lt;AG$3)*($Z261:$AI261-$AJ261:$AS261))))</f>
        <v>0</v>
      </c>
      <c r="N261" s="42" t="n">
        <f aca="false">AR261+MIN(AH261-AR261,MAX(0,'Start Here'!$B$10-SUM($AJ261:$AS261)-SUMPRODUCT(($Z$3:$AI$3&lt;AH$3)*($Z261:$AI261-$AJ261:$AS261))))</f>
        <v>0</v>
      </c>
      <c r="O261" s="42" t="n">
        <f aca="false">AS261+MIN(AI261-AS261,MAX(0,'Start Here'!$B$10-SUM($AJ261:$AS261)-SUMPRODUCT(($Z$3:$AI$3&lt;AI$3)*($Z261:$AI261-$AJ261:$AS261))))</f>
        <v>0</v>
      </c>
      <c r="P261" s="42" t="n">
        <f aca="false">ROUND(Z261-F261,2)</f>
        <v>0</v>
      </c>
      <c r="Q261" s="42" t="n">
        <f aca="false">ROUND(AA261-G261,2)</f>
        <v>0</v>
      </c>
      <c r="R261" s="42" t="n">
        <f aca="false">ROUND(AB261-H261,2)</f>
        <v>0</v>
      </c>
      <c r="S261" s="42" t="n">
        <f aca="false">ROUND(AC261-I261,2)</f>
        <v>0</v>
      </c>
      <c r="T261" s="42" t="n">
        <f aca="false">ROUND(AD261-J261,2)</f>
        <v>0</v>
      </c>
      <c r="U261" s="42" t="n">
        <f aca="false">ROUND(AE261-K261,2)</f>
        <v>0</v>
      </c>
      <c r="V261" s="42" t="n">
        <f aca="false">ROUND(AF261-L261,2)</f>
        <v>0</v>
      </c>
      <c r="W261" s="42" t="n">
        <f aca="false">ROUND(AG261-M261,2)</f>
        <v>0</v>
      </c>
      <c r="X261" s="42" t="n">
        <f aca="false">ROUND(AH261-N261,2)</f>
        <v>0</v>
      </c>
      <c r="Y261" s="42" t="n">
        <f aca="false">ROUND(AI261-O261,2)</f>
        <v>0</v>
      </c>
      <c r="Z261" s="56" t="n">
        <f aca="false">ROUND(P260*(1+N(Debts!$D$5)/12),2)</f>
        <v>0</v>
      </c>
      <c r="AA261" s="56" t="n">
        <f aca="false">ROUND(Q260*(1+N(Debts!$D$6)/12),2)</f>
        <v>0</v>
      </c>
      <c r="AB261" s="56" t="n">
        <f aca="false">ROUND(R260*(1+N(Debts!$D$7)/12),2)</f>
        <v>0</v>
      </c>
      <c r="AC261" s="56" t="n">
        <f aca="false">ROUND(S260*(1+N(Debts!$D$8)/12),2)</f>
        <v>0</v>
      </c>
      <c r="AD261" s="56" t="n">
        <f aca="false">ROUND(T260*(1+N(Debts!$D$9)/12),2)</f>
        <v>0</v>
      </c>
      <c r="AE261" s="56" t="n">
        <f aca="false">ROUND(U260*(1+N(Debts!$D$10)/12),2)</f>
        <v>0</v>
      </c>
      <c r="AF261" s="56" t="n">
        <f aca="false">ROUND(V260*(1+N(Debts!$D$11)/12),2)</f>
        <v>0</v>
      </c>
      <c r="AG261" s="56" t="n">
        <f aca="false">ROUND(W260*(1+N(Debts!$D$12)/12),2)</f>
        <v>0</v>
      </c>
      <c r="AH261" s="56" t="n">
        <f aca="false">ROUND(X260*(1+N(Debts!$D$13)/12),2)</f>
        <v>0</v>
      </c>
      <c r="AI261" s="56" t="n">
        <f aca="false">ROUND(Y260*(1+N(Debts!$D$14)/12),2)</f>
        <v>0</v>
      </c>
      <c r="AJ261" s="56" t="n">
        <f aca="false">MIN(Z261,MAX(0,N(Debts!$E$5)))</f>
        <v>0</v>
      </c>
      <c r="AK261" s="56" t="n">
        <f aca="false">MIN(AA261,MAX(0,N(Debts!$E$6)))</f>
        <v>0</v>
      </c>
      <c r="AL261" s="56" t="n">
        <f aca="false">MIN(AB261,MAX(0,N(Debts!$E$7)))</f>
        <v>0</v>
      </c>
      <c r="AM261" s="56" t="n">
        <f aca="false">MIN(AC261,MAX(0,N(Debts!$E$8)))</f>
        <v>0</v>
      </c>
      <c r="AN261" s="56" t="n">
        <f aca="false">MIN(AD261,MAX(0,N(Debts!$E$9)))</f>
        <v>0</v>
      </c>
      <c r="AO261" s="56" t="n">
        <f aca="false">MIN(AE261,MAX(0,N(Debts!$E$10)))</f>
        <v>0</v>
      </c>
      <c r="AP261" s="56" t="n">
        <f aca="false">MIN(AF261,MAX(0,N(Debts!$E$11)))</f>
        <v>0</v>
      </c>
      <c r="AQ261" s="56" t="n">
        <f aca="false">MIN(AG261,MAX(0,N(Debts!$E$12)))</f>
        <v>0</v>
      </c>
      <c r="AR261" s="56" t="n">
        <f aca="false">MIN(AH261,MAX(0,N(Debts!$E$13)))</f>
        <v>0</v>
      </c>
      <c r="AS261" s="56" t="n">
        <f aca="false">MIN(AI261,MAX(0,N(Debts!$E$14)))</f>
        <v>0</v>
      </c>
    </row>
    <row r="262" customFormat="false" ht="15" hidden="false" customHeight="false" outlineLevel="0" collapsed="false">
      <c r="A262" s="53" t="n">
        <v>258</v>
      </c>
      <c r="B262" s="54" t="n">
        <f aca="false">EDATE('Start Here'!$B$8,257)</f>
        <v>54149</v>
      </c>
      <c r="C262" s="42" t="n">
        <f aca="false">SUM(F262:O262)</f>
        <v>0</v>
      </c>
      <c r="D262" s="42" t="n">
        <f aca="false">ROUND(SUM($Z262:$AI262)-SUM(P261:Y261),2)</f>
        <v>0</v>
      </c>
      <c r="E262" s="55" t="n">
        <f aca="false">SUM(P262:Y262)</f>
        <v>0</v>
      </c>
      <c r="F262" s="42" t="n">
        <f aca="false">AJ262+MIN(Z262-AJ262,MAX(0,'Start Here'!$B$10-SUM($AJ262:$AS262)-SUMPRODUCT(($Z$3:$AI$3&lt;Z$3)*($Z262:$AI262-$AJ262:$AS262))))</f>
        <v>0</v>
      </c>
      <c r="G262" s="42" t="n">
        <f aca="false">AK262+MIN(AA262-AK262,MAX(0,'Start Here'!$B$10-SUM($AJ262:$AS262)-SUMPRODUCT(($Z$3:$AI$3&lt;AA$3)*($Z262:$AI262-$AJ262:$AS262))))</f>
        <v>0</v>
      </c>
      <c r="H262" s="42" t="n">
        <f aca="false">AL262+MIN(AB262-AL262,MAX(0,'Start Here'!$B$10-SUM($AJ262:$AS262)-SUMPRODUCT(($Z$3:$AI$3&lt;AB$3)*($Z262:$AI262-$AJ262:$AS262))))</f>
        <v>0</v>
      </c>
      <c r="I262" s="42" t="n">
        <f aca="false">AM262+MIN(AC262-AM262,MAX(0,'Start Here'!$B$10-SUM($AJ262:$AS262)-SUMPRODUCT(($Z$3:$AI$3&lt;AC$3)*($Z262:$AI262-$AJ262:$AS262))))</f>
        <v>0</v>
      </c>
      <c r="J262" s="42" t="n">
        <f aca="false">AN262+MIN(AD262-AN262,MAX(0,'Start Here'!$B$10-SUM($AJ262:$AS262)-SUMPRODUCT(($Z$3:$AI$3&lt;AD$3)*($Z262:$AI262-$AJ262:$AS262))))</f>
        <v>0</v>
      </c>
      <c r="K262" s="42" t="n">
        <f aca="false">AO262+MIN(AE262-AO262,MAX(0,'Start Here'!$B$10-SUM($AJ262:$AS262)-SUMPRODUCT(($Z$3:$AI$3&lt;AE$3)*($Z262:$AI262-$AJ262:$AS262))))</f>
        <v>0</v>
      </c>
      <c r="L262" s="42" t="n">
        <f aca="false">AP262+MIN(AF262-AP262,MAX(0,'Start Here'!$B$10-SUM($AJ262:$AS262)-SUMPRODUCT(($Z$3:$AI$3&lt;AF$3)*($Z262:$AI262-$AJ262:$AS262))))</f>
        <v>0</v>
      </c>
      <c r="M262" s="42" t="n">
        <f aca="false">AQ262+MIN(AG262-AQ262,MAX(0,'Start Here'!$B$10-SUM($AJ262:$AS262)-SUMPRODUCT(($Z$3:$AI$3&lt;AG$3)*($Z262:$AI262-$AJ262:$AS262))))</f>
        <v>0</v>
      </c>
      <c r="N262" s="42" t="n">
        <f aca="false">AR262+MIN(AH262-AR262,MAX(0,'Start Here'!$B$10-SUM($AJ262:$AS262)-SUMPRODUCT(($Z$3:$AI$3&lt;AH$3)*($Z262:$AI262-$AJ262:$AS262))))</f>
        <v>0</v>
      </c>
      <c r="O262" s="42" t="n">
        <f aca="false">AS262+MIN(AI262-AS262,MAX(0,'Start Here'!$B$10-SUM($AJ262:$AS262)-SUMPRODUCT(($Z$3:$AI$3&lt;AI$3)*($Z262:$AI262-$AJ262:$AS262))))</f>
        <v>0</v>
      </c>
      <c r="P262" s="42" t="n">
        <f aca="false">ROUND(Z262-F262,2)</f>
        <v>0</v>
      </c>
      <c r="Q262" s="42" t="n">
        <f aca="false">ROUND(AA262-G262,2)</f>
        <v>0</v>
      </c>
      <c r="R262" s="42" t="n">
        <f aca="false">ROUND(AB262-H262,2)</f>
        <v>0</v>
      </c>
      <c r="S262" s="42" t="n">
        <f aca="false">ROUND(AC262-I262,2)</f>
        <v>0</v>
      </c>
      <c r="T262" s="42" t="n">
        <f aca="false">ROUND(AD262-J262,2)</f>
        <v>0</v>
      </c>
      <c r="U262" s="42" t="n">
        <f aca="false">ROUND(AE262-K262,2)</f>
        <v>0</v>
      </c>
      <c r="V262" s="42" t="n">
        <f aca="false">ROUND(AF262-L262,2)</f>
        <v>0</v>
      </c>
      <c r="W262" s="42" t="n">
        <f aca="false">ROUND(AG262-M262,2)</f>
        <v>0</v>
      </c>
      <c r="X262" s="42" t="n">
        <f aca="false">ROUND(AH262-N262,2)</f>
        <v>0</v>
      </c>
      <c r="Y262" s="42" t="n">
        <f aca="false">ROUND(AI262-O262,2)</f>
        <v>0</v>
      </c>
      <c r="Z262" s="56" t="n">
        <f aca="false">ROUND(P261*(1+N(Debts!$D$5)/12),2)</f>
        <v>0</v>
      </c>
      <c r="AA262" s="56" t="n">
        <f aca="false">ROUND(Q261*(1+N(Debts!$D$6)/12),2)</f>
        <v>0</v>
      </c>
      <c r="AB262" s="56" t="n">
        <f aca="false">ROUND(R261*(1+N(Debts!$D$7)/12),2)</f>
        <v>0</v>
      </c>
      <c r="AC262" s="56" t="n">
        <f aca="false">ROUND(S261*(1+N(Debts!$D$8)/12),2)</f>
        <v>0</v>
      </c>
      <c r="AD262" s="56" t="n">
        <f aca="false">ROUND(T261*(1+N(Debts!$D$9)/12),2)</f>
        <v>0</v>
      </c>
      <c r="AE262" s="56" t="n">
        <f aca="false">ROUND(U261*(1+N(Debts!$D$10)/12),2)</f>
        <v>0</v>
      </c>
      <c r="AF262" s="56" t="n">
        <f aca="false">ROUND(V261*(1+N(Debts!$D$11)/12),2)</f>
        <v>0</v>
      </c>
      <c r="AG262" s="56" t="n">
        <f aca="false">ROUND(W261*(1+N(Debts!$D$12)/12),2)</f>
        <v>0</v>
      </c>
      <c r="AH262" s="56" t="n">
        <f aca="false">ROUND(X261*(1+N(Debts!$D$13)/12),2)</f>
        <v>0</v>
      </c>
      <c r="AI262" s="56" t="n">
        <f aca="false">ROUND(Y261*(1+N(Debts!$D$14)/12),2)</f>
        <v>0</v>
      </c>
      <c r="AJ262" s="56" t="n">
        <f aca="false">MIN(Z262,MAX(0,N(Debts!$E$5)))</f>
        <v>0</v>
      </c>
      <c r="AK262" s="56" t="n">
        <f aca="false">MIN(AA262,MAX(0,N(Debts!$E$6)))</f>
        <v>0</v>
      </c>
      <c r="AL262" s="56" t="n">
        <f aca="false">MIN(AB262,MAX(0,N(Debts!$E$7)))</f>
        <v>0</v>
      </c>
      <c r="AM262" s="56" t="n">
        <f aca="false">MIN(AC262,MAX(0,N(Debts!$E$8)))</f>
        <v>0</v>
      </c>
      <c r="AN262" s="56" t="n">
        <f aca="false">MIN(AD262,MAX(0,N(Debts!$E$9)))</f>
        <v>0</v>
      </c>
      <c r="AO262" s="56" t="n">
        <f aca="false">MIN(AE262,MAX(0,N(Debts!$E$10)))</f>
        <v>0</v>
      </c>
      <c r="AP262" s="56" t="n">
        <f aca="false">MIN(AF262,MAX(0,N(Debts!$E$11)))</f>
        <v>0</v>
      </c>
      <c r="AQ262" s="56" t="n">
        <f aca="false">MIN(AG262,MAX(0,N(Debts!$E$12)))</f>
        <v>0</v>
      </c>
      <c r="AR262" s="56" t="n">
        <f aca="false">MIN(AH262,MAX(0,N(Debts!$E$13)))</f>
        <v>0</v>
      </c>
      <c r="AS262" s="56" t="n">
        <f aca="false">MIN(AI262,MAX(0,N(Debts!$E$14)))</f>
        <v>0</v>
      </c>
    </row>
    <row r="263" customFormat="false" ht="15" hidden="false" customHeight="false" outlineLevel="0" collapsed="false">
      <c r="A263" s="53" t="n">
        <v>259</v>
      </c>
      <c r="B263" s="54" t="n">
        <f aca="false">EDATE('Start Here'!$B$8,258)</f>
        <v>54179</v>
      </c>
      <c r="C263" s="42" t="n">
        <f aca="false">SUM(F263:O263)</f>
        <v>0</v>
      </c>
      <c r="D263" s="42" t="n">
        <f aca="false">ROUND(SUM($Z263:$AI263)-SUM(P262:Y262),2)</f>
        <v>0</v>
      </c>
      <c r="E263" s="55" t="n">
        <f aca="false">SUM(P263:Y263)</f>
        <v>0</v>
      </c>
      <c r="F263" s="42" t="n">
        <f aca="false">AJ263+MIN(Z263-AJ263,MAX(0,'Start Here'!$B$10-SUM($AJ263:$AS263)-SUMPRODUCT(($Z$3:$AI$3&lt;Z$3)*($Z263:$AI263-$AJ263:$AS263))))</f>
        <v>0</v>
      </c>
      <c r="G263" s="42" t="n">
        <f aca="false">AK263+MIN(AA263-AK263,MAX(0,'Start Here'!$B$10-SUM($AJ263:$AS263)-SUMPRODUCT(($Z$3:$AI$3&lt;AA$3)*($Z263:$AI263-$AJ263:$AS263))))</f>
        <v>0</v>
      </c>
      <c r="H263" s="42" t="n">
        <f aca="false">AL263+MIN(AB263-AL263,MAX(0,'Start Here'!$B$10-SUM($AJ263:$AS263)-SUMPRODUCT(($Z$3:$AI$3&lt;AB$3)*($Z263:$AI263-$AJ263:$AS263))))</f>
        <v>0</v>
      </c>
      <c r="I263" s="42" t="n">
        <f aca="false">AM263+MIN(AC263-AM263,MAX(0,'Start Here'!$B$10-SUM($AJ263:$AS263)-SUMPRODUCT(($Z$3:$AI$3&lt;AC$3)*($Z263:$AI263-$AJ263:$AS263))))</f>
        <v>0</v>
      </c>
      <c r="J263" s="42" t="n">
        <f aca="false">AN263+MIN(AD263-AN263,MAX(0,'Start Here'!$B$10-SUM($AJ263:$AS263)-SUMPRODUCT(($Z$3:$AI$3&lt;AD$3)*($Z263:$AI263-$AJ263:$AS263))))</f>
        <v>0</v>
      </c>
      <c r="K263" s="42" t="n">
        <f aca="false">AO263+MIN(AE263-AO263,MAX(0,'Start Here'!$B$10-SUM($AJ263:$AS263)-SUMPRODUCT(($Z$3:$AI$3&lt;AE$3)*($Z263:$AI263-$AJ263:$AS263))))</f>
        <v>0</v>
      </c>
      <c r="L263" s="42" t="n">
        <f aca="false">AP263+MIN(AF263-AP263,MAX(0,'Start Here'!$B$10-SUM($AJ263:$AS263)-SUMPRODUCT(($Z$3:$AI$3&lt;AF$3)*($Z263:$AI263-$AJ263:$AS263))))</f>
        <v>0</v>
      </c>
      <c r="M263" s="42" t="n">
        <f aca="false">AQ263+MIN(AG263-AQ263,MAX(0,'Start Here'!$B$10-SUM($AJ263:$AS263)-SUMPRODUCT(($Z$3:$AI$3&lt;AG$3)*($Z263:$AI263-$AJ263:$AS263))))</f>
        <v>0</v>
      </c>
      <c r="N263" s="42" t="n">
        <f aca="false">AR263+MIN(AH263-AR263,MAX(0,'Start Here'!$B$10-SUM($AJ263:$AS263)-SUMPRODUCT(($Z$3:$AI$3&lt;AH$3)*($Z263:$AI263-$AJ263:$AS263))))</f>
        <v>0</v>
      </c>
      <c r="O263" s="42" t="n">
        <f aca="false">AS263+MIN(AI263-AS263,MAX(0,'Start Here'!$B$10-SUM($AJ263:$AS263)-SUMPRODUCT(($Z$3:$AI$3&lt;AI$3)*($Z263:$AI263-$AJ263:$AS263))))</f>
        <v>0</v>
      </c>
      <c r="P263" s="42" t="n">
        <f aca="false">ROUND(Z263-F263,2)</f>
        <v>0</v>
      </c>
      <c r="Q263" s="42" t="n">
        <f aca="false">ROUND(AA263-G263,2)</f>
        <v>0</v>
      </c>
      <c r="R263" s="42" t="n">
        <f aca="false">ROUND(AB263-H263,2)</f>
        <v>0</v>
      </c>
      <c r="S263" s="42" t="n">
        <f aca="false">ROUND(AC263-I263,2)</f>
        <v>0</v>
      </c>
      <c r="T263" s="42" t="n">
        <f aca="false">ROUND(AD263-J263,2)</f>
        <v>0</v>
      </c>
      <c r="U263" s="42" t="n">
        <f aca="false">ROUND(AE263-K263,2)</f>
        <v>0</v>
      </c>
      <c r="V263" s="42" t="n">
        <f aca="false">ROUND(AF263-L263,2)</f>
        <v>0</v>
      </c>
      <c r="W263" s="42" t="n">
        <f aca="false">ROUND(AG263-M263,2)</f>
        <v>0</v>
      </c>
      <c r="X263" s="42" t="n">
        <f aca="false">ROUND(AH263-N263,2)</f>
        <v>0</v>
      </c>
      <c r="Y263" s="42" t="n">
        <f aca="false">ROUND(AI263-O263,2)</f>
        <v>0</v>
      </c>
      <c r="Z263" s="56" t="n">
        <f aca="false">ROUND(P262*(1+N(Debts!$D$5)/12),2)</f>
        <v>0</v>
      </c>
      <c r="AA263" s="56" t="n">
        <f aca="false">ROUND(Q262*(1+N(Debts!$D$6)/12),2)</f>
        <v>0</v>
      </c>
      <c r="AB263" s="56" t="n">
        <f aca="false">ROUND(R262*(1+N(Debts!$D$7)/12),2)</f>
        <v>0</v>
      </c>
      <c r="AC263" s="56" t="n">
        <f aca="false">ROUND(S262*(1+N(Debts!$D$8)/12),2)</f>
        <v>0</v>
      </c>
      <c r="AD263" s="56" t="n">
        <f aca="false">ROUND(T262*(1+N(Debts!$D$9)/12),2)</f>
        <v>0</v>
      </c>
      <c r="AE263" s="56" t="n">
        <f aca="false">ROUND(U262*(1+N(Debts!$D$10)/12),2)</f>
        <v>0</v>
      </c>
      <c r="AF263" s="56" t="n">
        <f aca="false">ROUND(V262*(1+N(Debts!$D$11)/12),2)</f>
        <v>0</v>
      </c>
      <c r="AG263" s="56" t="n">
        <f aca="false">ROUND(W262*(1+N(Debts!$D$12)/12),2)</f>
        <v>0</v>
      </c>
      <c r="AH263" s="56" t="n">
        <f aca="false">ROUND(X262*(1+N(Debts!$D$13)/12),2)</f>
        <v>0</v>
      </c>
      <c r="AI263" s="56" t="n">
        <f aca="false">ROUND(Y262*(1+N(Debts!$D$14)/12),2)</f>
        <v>0</v>
      </c>
      <c r="AJ263" s="56" t="n">
        <f aca="false">MIN(Z263,MAX(0,N(Debts!$E$5)))</f>
        <v>0</v>
      </c>
      <c r="AK263" s="56" t="n">
        <f aca="false">MIN(AA263,MAX(0,N(Debts!$E$6)))</f>
        <v>0</v>
      </c>
      <c r="AL263" s="56" t="n">
        <f aca="false">MIN(AB263,MAX(0,N(Debts!$E$7)))</f>
        <v>0</v>
      </c>
      <c r="AM263" s="56" t="n">
        <f aca="false">MIN(AC263,MAX(0,N(Debts!$E$8)))</f>
        <v>0</v>
      </c>
      <c r="AN263" s="56" t="n">
        <f aca="false">MIN(AD263,MAX(0,N(Debts!$E$9)))</f>
        <v>0</v>
      </c>
      <c r="AO263" s="56" t="n">
        <f aca="false">MIN(AE263,MAX(0,N(Debts!$E$10)))</f>
        <v>0</v>
      </c>
      <c r="AP263" s="56" t="n">
        <f aca="false">MIN(AF263,MAX(0,N(Debts!$E$11)))</f>
        <v>0</v>
      </c>
      <c r="AQ263" s="56" t="n">
        <f aca="false">MIN(AG263,MAX(0,N(Debts!$E$12)))</f>
        <v>0</v>
      </c>
      <c r="AR263" s="56" t="n">
        <f aca="false">MIN(AH263,MAX(0,N(Debts!$E$13)))</f>
        <v>0</v>
      </c>
      <c r="AS263" s="56" t="n">
        <f aca="false">MIN(AI263,MAX(0,N(Debts!$E$14)))</f>
        <v>0</v>
      </c>
    </row>
    <row r="264" customFormat="false" ht="15" hidden="false" customHeight="false" outlineLevel="0" collapsed="false">
      <c r="A264" s="53" t="n">
        <v>260</v>
      </c>
      <c r="B264" s="54" t="n">
        <f aca="false">EDATE('Start Here'!$B$8,259)</f>
        <v>54210</v>
      </c>
      <c r="C264" s="42" t="n">
        <f aca="false">SUM(F264:O264)</f>
        <v>0</v>
      </c>
      <c r="D264" s="42" t="n">
        <f aca="false">ROUND(SUM($Z264:$AI264)-SUM(P263:Y263),2)</f>
        <v>0</v>
      </c>
      <c r="E264" s="55" t="n">
        <f aca="false">SUM(P264:Y264)</f>
        <v>0</v>
      </c>
      <c r="F264" s="42" t="n">
        <f aca="false">AJ264+MIN(Z264-AJ264,MAX(0,'Start Here'!$B$10-SUM($AJ264:$AS264)-SUMPRODUCT(($Z$3:$AI$3&lt;Z$3)*($Z264:$AI264-$AJ264:$AS264))))</f>
        <v>0</v>
      </c>
      <c r="G264" s="42" t="n">
        <f aca="false">AK264+MIN(AA264-AK264,MAX(0,'Start Here'!$B$10-SUM($AJ264:$AS264)-SUMPRODUCT(($Z$3:$AI$3&lt;AA$3)*($Z264:$AI264-$AJ264:$AS264))))</f>
        <v>0</v>
      </c>
      <c r="H264" s="42" t="n">
        <f aca="false">AL264+MIN(AB264-AL264,MAX(0,'Start Here'!$B$10-SUM($AJ264:$AS264)-SUMPRODUCT(($Z$3:$AI$3&lt;AB$3)*($Z264:$AI264-$AJ264:$AS264))))</f>
        <v>0</v>
      </c>
      <c r="I264" s="42" t="n">
        <f aca="false">AM264+MIN(AC264-AM264,MAX(0,'Start Here'!$B$10-SUM($AJ264:$AS264)-SUMPRODUCT(($Z$3:$AI$3&lt;AC$3)*($Z264:$AI264-$AJ264:$AS264))))</f>
        <v>0</v>
      </c>
      <c r="J264" s="42" t="n">
        <f aca="false">AN264+MIN(AD264-AN264,MAX(0,'Start Here'!$B$10-SUM($AJ264:$AS264)-SUMPRODUCT(($Z$3:$AI$3&lt;AD$3)*($Z264:$AI264-$AJ264:$AS264))))</f>
        <v>0</v>
      </c>
      <c r="K264" s="42" t="n">
        <f aca="false">AO264+MIN(AE264-AO264,MAX(0,'Start Here'!$B$10-SUM($AJ264:$AS264)-SUMPRODUCT(($Z$3:$AI$3&lt;AE$3)*($Z264:$AI264-$AJ264:$AS264))))</f>
        <v>0</v>
      </c>
      <c r="L264" s="42" t="n">
        <f aca="false">AP264+MIN(AF264-AP264,MAX(0,'Start Here'!$B$10-SUM($AJ264:$AS264)-SUMPRODUCT(($Z$3:$AI$3&lt;AF$3)*($Z264:$AI264-$AJ264:$AS264))))</f>
        <v>0</v>
      </c>
      <c r="M264" s="42" t="n">
        <f aca="false">AQ264+MIN(AG264-AQ264,MAX(0,'Start Here'!$B$10-SUM($AJ264:$AS264)-SUMPRODUCT(($Z$3:$AI$3&lt;AG$3)*($Z264:$AI264-$AJ264:$AS264))))</f>
        <v>0</v>
      </c>
      <c r="N264" s="42" t="n">
        <f aca="false">AR264+MIN(AH264-AR264,MAX(0,'Start Here'!$B$10-SUM($AJ264:$AS264)-SUMPRODUCT(($Z$3:$AI$3&lt;AH$3)*($Z264:$AI264-$AJ264:$AS264))))</f>
        <v>0</v>
      </c>
      <c r="O264" s="42" t="n">
        <f aca="false">AS264+MIN(AI264-AS264,MAX(0,'Start Here'!$B$10-SUM($AJ264:$AS264)-SUMPRODUCT(($Z$3:$AI$3&lt;AI$3)*($Z264:$AI264-$AJ264:$AS264))))</f>
        <v>0</v>
      </c>
      <c r="P264" s="42" t="n">
        <f aca="false">ROUND(Z264-F264,2)</f>
        <v>0</v>
      </c>
      <c r="Q264" s="42" t="n">
        <f aca="false">ROUND(AA264-G264,2)</f>
        <v>0</v>
      </c>
      <c r="R264" s="42" t="n">
        <f aca="false">ROUND(AB264-H264,2)</f>
        <v>0</v>
      </c>
      <c r="S264" s="42" t="n">
        <f aca="false">ROUND(AC264-I264,2)</f>
        <v>0</v>
      </c>
      <c r="T264" s="42" t="n">
        <f aca="false">ROUND(AD264-J264,2)</f>
        <v>0</v>
      </c>
      <c r="U264" s="42" t="n">
        <f aca="false">ROUND(AE264-K264,2)</f>
        <v>0</v>
      </c>
      <c r="V264" s="42" t="n">
        <f aca="false">ROUND(AF264-L264,2)</f>
        <v>0</v>
      </c>
      <c r="W264" s="42" t="n">
        <f aca="false">ROUND(AG264-M264,2)</f>
        <v>0</v>
      </c>
      <c r="X264" s="42" t="n">
        <f aca="false">ROUND(AH264-N264,2)</f>
        <v>0</v>
      </c>
      <c r="Y264" s="42" t="n">
        <f aca="false">ROUND(AI264-O264,2)</f>
        <v>0</v>
      </c>
      <c r="Z264" s="56" t="n">
        <f aca="false">ROUND(P263*(1+N(Debts!$D$5)/12),2)</f>
        <v>0</v>
      </c>
      <c r="AA264" s="56" t="n">
        <f aca="false">ROUND(Q263*(1+N(Debts!$D$6)/12),2)</f>
        <v>0</v>
      </c>
      <c r="AB264" s="56" t="n">
        <f aca="false">ROUND(R263*(1+N(Debts!$D$7)/12),2)</f>
        <v>0</v>
      </c>
      <c r="AC264" s="56" t="n">
        <f aca="false">ROUND(S263*(1+N(Debts!$D$8)/12),2)</f>
        <v>0</v>
      </c>
      <c r="AD264" s="56" t="n">
        <f aca="false">ROUND(T263*(1+N(Debts!$D$9)/12),2)</f>
        <v>0</v>
      </c>
      <c r="AE264" s="56" t="n">
        <f aca="false">ROUND(U263*(1+N(Debts!$D$10)/12),2)</f>
        <v>0</v>
      </c>
      <c r="AF264" s="56" t="n">
        <f aca="false">ROUND(V263*(1+N(Debts!$D$11)/12),2)</f>
        <v>0</v>
      </c>
      <c r="AG264" s="56" t="n">
        <f aca="false">ROUND(W263*(1+N(Debts!$D$12)/12),2)</f>
        <v>0</v>
      </c>
      <c r="AH264" s="56" t="n">
        <f aca="false">ROUND(X263*(1+N(Debts!$D$13)/12),2)</f>
        <v>0</v>
      </c>
      <c r="AI264" s="56" t="n">
        <f aca="false">ROUND(Y263*(1+N(Debts!$D$14)/12),2)</f>
        <v>0</v>
      </c>
      <c r="AJ264" s="56" t="n">
        <f aca="false">MIN(Z264,MAX(0,N(Debts!$E$5)))</f>
        <v>0</v>
      </c>
      <c r="AK264" s="56" t="n">
        <f aca="false">MIN(AA264,MAX(0,N(Debts!$E$6)))</f>
        <v>0</v>
      </c>
      <c r="AL264" s="56" t="n">
        <f aca="false">MIN(AB264,MAX(0,N(Debts!$E$7)))</f>
        <v>0</v>
      </c>
      <c r="AM264" s="56" t="n">
        <f aca="false">MIN(AC264,MAX(0,N(Debts!$E$8)))</f>
        <v>0</v>
      </c>
      <c r="AN264" s="56" t="n">
        <f aca="false">MIN(AD264,MAX(0,N(Debts!$E$9)))</f>
        <v>0</v>
      </c>
      <c r="AO264" s="56" t="n">
        <f aca="false">MIN(AE264,MAX(0,N(Debts!$E$10)))</f>
        <v>0</v>
      </c>
      <c r="AP264" s="56" t="n">
        <f aca="false">MIN(AF264,MAX(0,N(Debts!$E$11)))</f>
        <v>0</v>
      </c>
      <c r="AQ264" s="56" t="n">
        <f aca="false">MIN(AG264,MAX(0,N(Debts!$E$12)))</f>
        <v>0</v>
      </c>
      <c r="AR264" s="56" t="n">
        <f aca="false">MIN(AH264,MAX(0,N(Debts!$E$13)))</f>
        <v>0</v>
      </c>
      <c r="AS264" s="56" t="n">
        <f aca="false">MIN(AI264,MAX(0,N(Debts!$E$14)))</f>
        <v>0</v>
      </c>
    </row>
    <row r="265" customFormat="false" ht="15" hidden="false" customHeight="false" outlineLevel="0" collapsed="false">
      <c r="A265" s="53" t="n">
        <v>261</v>
      </c>
      <c r="B265" s="54" t="n">
        <f aca="false">EDATE('Start Here'!$B$8,260)</f>
        <v>54240</v>
      </c>
      <c r="C265" s="42" t="n">
        <f aca="false">SUM(F265:O265)</f>
        <v>0</v>
      </c>
      <c r="D265" s="42" t="n">
        <f aca="false">ROUND(SUM($Z265:$AI265)-SUM(P264:Y264),2)</f>
        <v>0</v>
      </c>
      <c r="E265" s="55" t="n">
        <f aca="false">SUM(P265:Y265)</f>
        <v>0</v>
      </c>
      <c r="F265" s="42" t="n">
        <f aca="false">AJ265+MIN(Z265-AJ265,MAX(0,'Start Here'!$B$10-SUM($AJ265:$AS265)-SUMPRODUCT(($Z$3:$AI$3&lt;Z$3)*($Z265:$AI265-$AJ265:$AS265))))</f>
        <v>0</v>
      </c>
      <c r="G265" s="42" t="n">
        <f aca="false">AK265+MIN(AA265-AK265,MAX(0,'Start Here'!$B$10-SUM($AJ265:$AS265)-SUMPRODUCT(($Z$3:$AI$3&lt;AA$3)*($Z265:$AI265-$AJ265:$AS265))))</f>
        <v>0</v>
      </c>
      <c r="H265" s="42" t="n">
        <f aca="false">AL265+MIN(AB265-AL265,MAX(0,'Start Here'!$B$10-SUM($AJ265:$AS265)-SUMPRODUCT(($Z$3:$AI$3&lt;AB$3)*($Z265:$AI265-$AJ265:$AS265))))</f>
        <v>0</v>
      </c>
      <c r="I265" s="42" t="n">
        <f aca="false">AM265+MIN(AC265-AM265,MAX(0,'Start Here'!$B$10-SUM($AJ265:$AS265)-SUMPRODUCT(($Z$3:$AI$3&lt;AC$3)*($Z265:$AI265-$AJ265:$AS265))))</f>
        <v>0</v>
      </c>
      <c r="J265" s="42" t="n">
        <f aca="false">AN265+MIN(AD265-AN265,MAX(0,'Start Here'!$B$10-SUM($AJ265:$AS265)-SUMPRODUCT(($Z$3:$AI$3&lt;AD$3)*($Z265:$AI265-$AJ265:$AS265))))</f>
        <v>0</v>
      </c>
      <c r="K265" s="42" t="n">
        <f aca="false">AO265+MIN(AE265-AO265,MAX(0,'Start Here'!$B$10-SUM($AJ265:$AS265)-SUMPRODUCT(($Z$3:$AI$3&lt;AE$3)*($Z265:$AI265-$AJ265:$AS265))))</f>
        <v>0</v>
      </c>
      <c r="L265" s="42" t="n">
        <f aca="false">AP265+MIN(AF265-AP265,MAX(0,'Start Here'!$B$10-SUM($AJ265:$AS265)-SUMPRODUCT(($Z$3:$AI$3&lt;AF$3)*($Z265:$AI265-$AJ265:$AS265))))</f>
        <v>0</v>
      </c>
      <c r="M265" s="42" t="n">
        <f aca="false">AQ265+MIN(AG265-AQ265,MAX(0,'Start Here'!$B$10-SUM($AJ265:$AS265)-SUMPRODUCT(($Z$3:$AI$3&lt;AG$3)*($Z265:$AI265-$AJ265:$AS265))))</f>
        <v>0</v>
      </c>
      <c r="N265" s="42" t="n">
        <f aca="false">AR265+MIN(AH265-AR265,MAX(0,'Start Here'!$B$10-SUM($AJ265:$AS265)-SUMPRODUCT(($Z$3:$AI$3&lt;AH$3)*($Z265:$AI265-$AJ265:$AS265))))</f>
        <v>0</v>
      </c>
      <c r="O265" s="42" t="n">
        <f aca="false">AS265+MIN(AI265-AS265,MAX(0,'Start Here'!$B$10-SUM($AJ265:$AS265)-SUMPRODUCT(($Z$3:$AI$3&lt;AI$3)*($Z265:$AI265-$AJ265:$AS265))))</f>
        <v>0</v>
      </c>
      <c r="P265" s="42" t="n">
        <f aca="false">ROUND(Z265-F265,2)</f>
        <v>0</v>
      </c>
      <c r="Q265" s="42" t="n">
        <f aca="false">ROUND(AA265-G265,2)</f>
        <v>0</v>
      </c>
      <c r="R265" s="42" t="n">
        <f aca="false">ROUND(AB265-H265,2)</f>
        <v>0</v>
      </c>
      <c r="S265" s="42" t="n">
        <f aca="false">ROUND(AC265-I265,2)</f>
        <v>0</v>
      </c>
      <c r="T265" s="42" t="n">
        <f aca="false">ROUND(AD265-J265,2)</f>
        <v>0</v>
      </c>
      <c r="U265" s="42" t="n">
        <f aca="false">ROUND(AE265-K265,2)</f>
        <v>0</v>
      </c>
      <c r="V265" s="42" t="n">
        <f aca="false">ROUND(AF265-L265,2)</f>
        <v>0</v>
      </c>
      <c r="W265" s="42" t="n">
        <f aca="false">ROUND(AG265-M265,2)</f>
        <v>0</v>
      </c>
      <c r="X265" s="42" t="n">
        <f aca="false">ROUND(AH265-N265,2)</f>
        <v>0</v>
      </c>
      <c r="Y265" s="42" t="n">
        <f aca="false">ROUND(AI265-O265,2)</f>
        <v>0</v>
      </c>
      <c r="Z265" s="56" t="n">
        <f aca="false">ROUND(P264*(1+N(Debts!$D$5)/12),2)</f>
        <v>0</v>
      </c>
      <c r="AA265" s="56" t="n">
        <f aca="false">ROUND(Q264*(1+N(Debts!$D$6)/12),2)</f>
        <v>0</v>
      </c>
      <c r="AB265" s="56" t="n">
        <f aca="false">ROUND(R264*(1+N(Debts!$D$7)/12),2)</f>
        <v>0</v>
      </c>
      <c r="AC265" s="56" t="n">
        <f aca="false">ROUND(S264*(1+N(Debts!$D$8)/12),2)</f>
        <v>0</v>
      </c>
      <c r="AD265" s="56" t="n">
        <f aca="false">ROUND(T264*(1+N(Debts!$D$9)/12),2)</f>
        <v>0</v>
      </c>
      <c r="AE265" s="56" t="n">
        <f aca="false">ROUND(U264*(1+N(Debts!$D$10)/12),2)</f>
        <v>0</v>
      </c>
      <c r="AF265" s="56" t="n">
        <f aca="false">ROUND(V264*(1+N(Debts!$D$11)/12),2)</f>
        <v>0</v>
      </c>
      <c r="AG265" s="56" t="n">
        <f aca="false">ROUND(W264*(1+N(Debts!$D$12)/12),2)</f>
        <v>0</v>
      </c>
      <c r="AH265" s="56" t="n">
        <f aca="false">ROUND(X264*(1+N(Debts!$D$13)/12),2)</f>
        <v>0</v>
      </c>
      <c r="AI265" s="56" t="n">
        <f aca="false">ROUND(Y264*(1+N(Debts!$D$14)/12),2)</f>
        <v>0</v>
      </c>
      <c r="AJ265" s="56" t="n">
        <f aca="false">MIN(Z265,MAX(0,N(Debts!$E$5)))</f>
        <v>0</v>
      </c>
      <c r="AK265" s="56" t="n">
        <f aca="false">MIN(AA265,MAX(0,N(Debts!$E$6)))</f>
        <v>0</v>
      </c>
      <c r="AL265" s="56" t="n">
        <f aca="false">MIN(AB265,MAX(0,N(Debts!$E$7)))</f>
        <v>0</v>
      </c>
      <c r="AM265" s="56" t="n">
        <f aca="false">MIN(AC265,MAX(0,N(Debts!$E$8)))</f>
        <v>0</v>
      </c>
      <c r="AN265" s="56" t="n">
        <f aca="false">MIN(AD265,MAX(0,N(Debts!$E$9)))</f>
        <v>0</v>
      </c>
      <c r="AO265" s="56" t="n">
        <f aca="false">MIN(AE265,MAX(0,N(Debts!$E$10)))</f>
        <v>0</v>
      </c>
      <c r="AP265" s="56" t="n">
        <f aca="false">MIN(AF265,MAX(0,N(Debts!$E$11)))</f>
        <v>0</v>
      </c>
      <c r="AQ265" s="56" t="n">
        <f aca="false">MIN(AG265,MAX(0,N(Debts!$E$12)))</f>
        <v>0</v>
      </c>
      <c r="AR265" s="56" t="n">
        <f aca="false">MIN(AH265,MAX(0,N(Debts!$E$13)))</f>
        <v>0</v>
      </c>
      <c r="AS265" s="56" t="n">
        <f aca="false">MIN(AI265,MAX(0,N(Debts!$E$14)))</f>
        <v>0</v>
      </c>
    </row>
    <row r="266" customFormat="false" ht="15" hidden="false" customHeight="false" outlineLevel="0" collapsed="false">
      <c r="A266" s="53" t="n">
        <v>262</v>
      </c>
      <c r="B266" s="54" t="n">
        <f aca="false">EDATE('Start Here'!$B$8,261)</f>
        <v>54271</v>
      </c>
      <c r="C266" s="42" t="n">
        <f aca="false">SUM(F266:O266)</f>
        <v>0</v>
      </c>
      <c r="D266" s="42" t="n">
        <f aca="false">ROUND(SUM($Z266:$AI266)-SUM(P265:Y265),2)</f>
        <v>0</v>
      </c>
      <c r="E266" s="55" t="n">
        <f aca="false">SUM(P266:Y266)</f>
        <v>0</v>
      </c>
      <c r="F266" s="42" t="n">
        <f aca="false">AJ266+MIN(Z266-AJ266,MAX(0,'Start Here'!$B$10-SUM($AJ266:$AS266)-SUMPRODUCT(($Z$3:$AI$3&lt;Z$3)*($Z266:$AI266-$AJ266:$AS266))))</f>
        <v>0</v>
      </c>
      <c r="G266" s="42" t="n">
        <f aca="false">AK266+MIN(AA266-AK266,MAX(0,'Start Here'!$B$10-SUM($AJ266:$AS266)-SUMPRODUCT(($Z$3:$AI$3&lt;AA$3)*($Z266:$AI266-$AJ266:$AS266))))</f>
        <v>0</v>
      </c>
      <c r="H266" s="42" t="n">
        <f aca="false">AL266+MIN(AB266-AL266,MAX(0,'Start Here'!$B$10-SUM($AJ266:$AS266)-SUMPRODUCT(($Z$3:$AI$3&lt;AB$3)*($Z266:$AI266-$AJ266:$AS266))))</f>
        <v>0</v>
      </c>
      <c r="I266" s="42" t="n">
        <f aca="false">AM266+MIN(AC266-AM266,MAX(0,'Start Here'!$B$10-SUM($AJ266:$AS266)-SUMPRODUCT(($Z$3:$AI$3&lt;AC$3)*($Z266:$AI266-$AJ266:$AS266))))</f>
        <v>0</v>
      </c>
      <c r="J266" s="42" t="n">
        <f aca="false">AN266+MIN(AD266-AN266,MAX(0,'Start Here'!$B$10-SUM($AJ266:$AS266)-SUMPRODUCT(($Z$3:$AI$3&lt;AD$3)*($Z266:$AI266-$AJ266:$AS266))))</f>
        <v>0</v>
      </c>
      <c r="K266" s="42" t="n">
        <f aca="false">AO266+MIN(AE266-AO266,MAX(0,'Start Here'!$B$10-SUM($AJ266:$AS266)-SUMPRODUCT(($Z$3:$AI$3&lt;AE$3)*($Z266:$AI266-$AJ266:$AS266))))</f>
        <v>0</v>
      </c>
      <c r="L266" s="42" t="n">
        <f aca="false">AP266+MIN(AF266-AP266,MAX(0,'Start Here'!$B$10-SUM($AJ266:$AS266)-SUMPRODUCT(($Z$3:$AI$3&lt;AF$3)*($Z266:$AI266-$AJ266:$AS266))))</f>
        <v>0</v>
      </c>
      <c r="M266" s="42" t="n">
        <f aca="false">AQ266+MIN(AG266-AQ266,MAX(0,'Start Here'!$B$10-SUM($AJ266:$AS266)-SUMPRODUCT(($Z$3:$AI$3&lt;AG$3)*($Z266:$AI266-$AJ266:$AS266))))</f>
        <v>0</v>
      </c>
      <c r="N266" s="42" t="n">
        <f aca="false">AR266+MIN(AH266-AR266,MAX(0,'Start Here'!$B$10-SUM($AJ266:$AS266)-SUMPRODUCT(($Z$3:$AI$3&lt;AH$3)*($Z266:$AI266-$AJ266:$AS266))))</f>
        <v>0</v>
      </c>
      <c r="O266" s="42" t="n">
        <f aca="false">AS266+MIN(AI266-AS266,MAX(0,'Start Here'!$B$10-SUM($AJ266:$AS266)-SUMPRODUCT(($Z$3:$AI$3&lt;AI$3)*($Z266:$AI266-$AJ266:$AS266))))</f>
        <v>0</v>
      </c>
      <c r="P266" s="42" t="n">
        <f aca="false">ROUND(Z266-F266,2)</f>
        <v>0</v>
      </c>
      <c r="Q266" s="42" t="n">
        <f aca="false">ROUND(AA266-G266,2)</f>
        <v>0</v>
      </c>
      <c r="R266" s="42" t="n">
        <f aca="false">ROUND(AB266-H266,2)</f>
        <v>0</v>
      </c>
      <c r="S266" s="42" t="n">
        <f aca="false">ROUND(AC266-I266,2)</f>
        <v>0</v>
      </c>
      <c r="T266" s="42" t="n">
        <f aca="false">ROUND(AD266-J266,2)</f>
        <v>0</v>
      </c>
      <c r="U266" s="42" t="n">
        <f aca="false">ROUND(AE266-K266,2)</f>
        <v>0</v>
      </c>
      <c r="V266" s="42" t="n">
        <f aca="false">ROUND(AF266-L266,2)</f>
        <v>0</v>
      </c>
      <c r="W266" s="42" t="n">
        <f aca="false">ROUND(AG266-M266,2)</f>
        <v>0</v>
      </c>
      <c r="X266" s="42" t="n">
        <f aca="false">ROUND(AH266-N266,2)</f>
        <v>0</v>
      </c>
      <c r="Y266" s="42" t="n">
        <f aca="false">ROUND(AI266-O266,2)</f>
        <v>0</v>
      </c>
      <c r="Z266" s="56" t="n">
        <f aca="false">ROUND(P265*(1+N(Debts!$D$5)/12),2)</f>
        <v>0</v>
      </c>
      <c r="AA266" s="56" t="n">
        <f aca="false">ROUND(Q265*(1+N(Debts!$D$6)/12),2)</f>
        <v>0</v>
      </c>
      <c r="AB266" s="56" t="n">
        <f aca="false">ROUND(R265*(1+N(Debts!$D$7)/12),2)</f>
        <v>0</v>
      </c>
      <c r="AC266" s="56" t="n">
        <f aca="false">ROUND(S265*(1+N(Debts!$D$8)/12),2)</f>
        <v>0</v>
      </c>
      <c r="AD266" s="56" t="n">
        <f aca="false">ROUND(T265*(1+N(Debts!$D$9)/12),2)</f>
        <v>0</v>
      </c>
      <c r="AE266" s="56" t="n">
        <f aca="false">ROUND(U265*(1+N(Debts!$D$10)/12),2)</f>
        <v>0</v>
      </c>
      <c r="AF266" s="56" t="n">
        <f aca="false">ROUND(V265*(1+N(Debts!$D$11)/12),2)</f>
        <v>0</v>
      </c>
      <c r="AG266" s="56" t="n">
        <f aca="false">ROUND(W265*(1+N(Debts!$D$12)/12),2)</f>
        <v>0</v>
      </c>
      <c r="AH266" s="56" t="n">
        <f aca="false">ROUND(X265*(1+N(Debts!$D$13)/12),2)</f>
        <v>0</v>
      </c>
      <c r="AI266" s="56" t="n">
        <f aca="false">ROUND(Y265*(1+N(Debts!$D$14)/12),2)</f>
        <v>0</v>
      </c>
      <c r="AJ266" s="56" t="n">
        <f aca="false">MIN(Z266,MAX(0,N(Debts!$E$5)))</f>
        <v>0</v>
      </c>
      <c r="AK266" s="56" t="n">
        <f aca="false">MIN(AA266,MAX(0,N(Debts!$E$6)))</f>
        <v>0</v>
      </c>
      <c r="AL266" s="56" t="n">
        <f aca="false">MIN(AB266,MAX(0,N(Debts!$E$7)))</f>
        <v>0</v>
      </c>
      <c r="AM266" s="56" t="n">
        <f aca="false">MIN(AC266,MAX(0,N(Debts!$E$8)))</f>
        <v>0</v>
      </c>
      <c r="AN266" s="56" t="n">
        <f aca="false">MIN(AD266,MAX(0,N(Debts!$E$9)))</f>
        <v>0</v>
      </c>
      <c r="AO266" s="56" t="n">
        <f aca="false">MIN(AE266,MAX(0,N(Debts!$E$10)))</f>
        <v>0</v>
      </c>
      <c r="AP266" s="56" t="n">
        <f aca="false">MIN(AF266,MAX(0,N(Debts!$E$11)))</f>
        <v>0</v>
      </c>
      <c r="AQ266" s="56" t="n">
        <f aca="false">MIN(AG266,MAX(0,N(Debts!$E$12)))</f>
        <v>0</v>
      </c>
      <c r="AR266" s="56" t="n">
        <f aca="false">MIN(AH266,MAX(0,N(Debts!$E$13)))</f>
        <v>0</v>
      </c>
      <c r="AS266" s="56" t="n">
        <f aca="false">MIN(AI266,MAX(0,N(Debts!$E$14)))</f>
        <v>0</v>
      </c>
    </row>
    <row r="267" customFormat="false" ht="15" hidden="false" customHeight="false" outlineLevel="0" collapsed="false">
      <c r="A267" s="53" t="n">
        <v>263</v>
      </c>
      <c r="B267" s="54" t="n">
        <f aca="false">EDATE('Start Here'!$B$8,262)</f>
        <v>54302</v>
      </c>
      <c r="C267" s="42" t="n">
        <f aca="false">SUM(F267:O267)</f>
        <v>0</v>
      </c>
      <c r="D267" s="42" t="n">
        <f aca="false">ROUND(SUM($Z267:$AI267)-SUM(P266:Y266),2)</f>
        <v>0</v>
      </c>
      <c r="E267" s="55" t="n">
        <f aca="false">SUM(P267:Y267)</f>
        <v>0</v>
      </c>
      <c r="F267" s="42" t="n">
        <f aca="false">AJ267+MIN(Z267-AJ267,MAX(0,'Start Here'!$B$10-SUM($AJ267:$AS267)-SUMPRODUCT(($Z$3:$AI$3&lt;Z$3)*($Z267:$AI267-$AJ267:$AS267))))</f>
        <v>0</v>
      </c>
      <c r="G267" s="42" t="n">
        <f aca="false">AK267+MIN(AA267-AK267,MAX(0,'Start Here'!$B$10-SUM($AJ267:$AS267)-SUMPRODUCT(($Z$3:$AI$3&lt;AA$3)*($Z267:$AI267-$AJ267:$AS267))))</f>
        <v>0</v>
      </c>
      <c r="H267" s="42" t="n">
        <f aca="false">AL267+MIN(AB267-AL267,MAX(0,'Start Here'!$B$10-SUM($AJ267:$AS267)-SUMPRODUCT(($Z$3:$AI$3&lt;AB$3)*($Z267:$AI267-$AJ267:$AS267))))</f>
        <v>0</v>
      </c>
      <c r="I267" s="42" t="n">
        <f aca="false">AM267+MIN(AC267-AM267,MAX(0,'Start Here'!$B$10-SUM($AJ267:$AS267)-SUMPRODUCT(($Z$3:$AI$3&lt;AC$3)*($Z267:$AI267-$AJ267:$AS267))))</f>
        <v>0</v>
      </c>
      <c r="J267" s="42" t="n">
        <f aca="false">AN267+MIN(AD267-AN267,MAX(0,'Start Here'!$B$10-SUM($AJ267:$AS267)-SUMPRODUCT(($Z$3:$AI$3&lt;AD$3)*($Z267:$AI267-$AJ267:$AS267))))</f>
        <v>0</v>
      </c>
      <c r="K267" s="42" t="n">
        <f aca="false">AO267+MIN(AE267-AO267,MAX(0,'Start Here'!$B$10-SUM($AJ267:$AS267)-SUMPRODUCT(($Z$3:$AI$3&lt;AE$3)*($Z267:$AI267-$AJ267:$AS267))))</f>
        <v>0</v>
      </c>
      <c r="L267" s="42" t="n">
        <f aca="false">AP267+MIN(AF267-AP267,MAX(0,'Start Here'!$B$10-SUM($AJ267:$AS267)-SUMPRODUCT(($Z$3:$AI$3&lt;AF$3)*($Z267:$AI267-$AJ267:$AS267))))</f>
        <v>0</v>
      </c>
      <c r="M267" s="42" t="n">
        <f aca="false">AQ267+MIN(AG267-AQ267,MAX(0,'Start Here'!$B$10-SUM($AJ267:$AS267)-SUMPRODUCT(($Z$3:$AI$3&lt;AG$3)*($Z267:$AI267-$AJ267:$AS267))))</f>
        <v>0</v>
      </c>
      <c r="N267" s="42" t="n">
        <f aca="false">AR267+MIN(AH267-AR267,MAX(0,'Start Here'!$B$10-SUM($AJ267:$AS267)-SUMPRODUCT(($Z$3:$AI$3&lt;AH$3)*($Z267:$AI267-$AJ267:$AS267))))</f>
        <v>0</v>
      </c>
      <c r="O267" s="42" t="n">
        <f aca="false">AS267+MIN(AI267-AS267,MAX(0,'Start Here'!$B$10-SUM($AJ267:$AS267)-SUMPRODUCT(($Z$3:$AI$3&lt;AI$3)*($Z267:$AI267-$AJ267:$AS267))))</f>
        <v>0</v>
      </c>
      <c r="P267" s="42" t="n">
        <f aca="false">ROUND(Z267-F267,2)</f>
        <v>0</v>
      </c>
      <c r="Q267" s="42" t="n">
        <f aca="false">ROUND(AA267-G267,2)</f>
        <v>0</v>
      </c>
      <c r="R267" s="42" t="n">
        <f aca="false">ROUND(AB267-H267,2)</f>
        <v>0</v>
      </c>
      <c r="S267" s="42" t="n">
        <f aca="false">ROUND(AC267-I267,2)</f>
        <v>0</v>
      </c>
      <c r="T267" s="42" t="n">
        <f aca="false">ROUND(AD267-J267,2)</f>
        <v>0</v>
      </c>
      <c r="U267" s="42" t="n">
        <f aca="false">ROUND(AE267-K267,2)</f>
        <v>0</v>
      </c>
      <c r="V267" s="42" t="n">
        <f aca="false">ROUND(AF267-L267,2)</f>
        <v>0</v>
      </c>
      <c r="W267" s="42" t="n">
        <f aca="false">ROUND(AG267-M267,2)</f>
        <v>0</v>
      </c>
      <c r="X267" s="42" t="n">
        <f aca="false">ROUND(AH267-N267,2)</f>
        <v>0</v>
      </c>
      <c r="Y267" s="42" t="n">
        <f aca="false">ROUND(AI267-O267,2)</f>
        <v>0</v>
      </c>
      <c r="Z267" s="56" t="n">
        <f aca="false">ROUND(P266*(1+N(Debts!$D$5)/12),2)</f>
        <v>0</v>
      </c>
      <c r="AA267" s="56" t="n">
        <f aca="false">ROUND(Q266*(1+N(Debts!$D$6)/12),2)</f>
        <v>0</v>
      </c>
      <c r="AB267" s="56" t="n">
        <f aca="false">ROUND(R266*(1+N(Debts!$D$7)/12),2)</f>
        <v>0</v>
      </c>
      <c r="AC267" s="56" t="n">
        <f aca="false">ROUND(S266*(1+N(Debts!$D$8)/12),2)</f>
        <v>0</v>
      </c>
      <c r="AD267" s="56" t="n">
        <f aca="false">ROUND(T266*(1+N(Debts!$D$9)/12),2)</f>
        <v>0</v>
      </c>
      <c r="AE267" s="56" t="n">
        <f aca="false">ROUND(U266*(1+N(Debts!$D$10)/12),2)</f>
        <v>0</v>
      </c>
      <c r="AF267" s="56" t="n">
        <f aca="false">ROUND(V266*(1+N(Debts!$D$11)/12),2)</f>
        <v>0</v>
      </c>
      <c r="AG267" s="56" t="n">
        <f aca="false">ROUND(W266*(1+N(Debts!$D$12)/12),2)</f>
        <v>0</v>
      </c>
      <c r="AH267" s="56" t="n">
        <f aca="false">ROUND(X266*(1+N(Debts!$D$13)/12),2)</f>
        <v>0</v>
      </c>
      <c r="AI267" s="56" t="n">
        <f aca="false">ROUND(Y266*(1+N(Debts!$D$14)/12),2)</f>
        <v>0</v>
      </c>
      <c r="AJ267" s="56" t="n">
        <f aca="false">MIN(Z267,MAX(0,N(Debts!$E$5)))</f>
        <v>0</v>
      </c>
      <c r="AK267" s="56" t="n">
        <f aca="false">MIN(AA267,MAX(0,N(Debts!$E$6)))</f>
        <v>0</v>
      </c>
      <c r="AL267" s="56" t="n">
        <f aca="false">MIN(AB267,MAX(0,N(Debts!$E$7)))</f>
        <v>0</v>
      </c>
      <c r="AM267" s="56" t="n">
        <f aca="false">MIN(AC267,MAX(0,N(Debts!$E$8)))</f>
        <v>0</v>
      </c>
      <c r="AN267" s="56" t="n">
        <f aca="false">MIN(AD267,MAX(0,N(Debts!$E$9)))</f>
        <v>0</v>
      </c>
      <c r="AO267" s="56" t="n">
        <f aca="false">MIN(AE267,MAX(0,N(Debts!$E$10)))</f>
        <v>0</v>
      </c>
      <c r="AP267" s="56" t="n">
        <f aca="false">MIN(AF267,MAX(0,N(Debts!$E$11)))</f>
        <v>0</v>
      </c>
      <c r="AQ267" s="56" t="n">
        <f aca="false">MIN(AG267,MAX(0,N(Debts!$E$12)))</f>
        <v>0</v>
      </c>
      <c r="AR267" s="56" t="n">
        <f aca="false">MIN(AH267,MAX(0,N(Debts!$E$13)))</f>
        <v>0</v>
      </c>
      <c r="AS267" s="56" t="n">
        <f aca="false">MIN(AI267,MAX(0,N(Debts!$E$14)))</f>
        <v>0</v>
      </c>
    </row>
    <row r="268" customFormat="false" ht="15" hidden="false" customHeight="false" outlineLevel="0" collapsed="false">
      <c r="A268" s="53" t="n">
        <v>264</v>
      </c>
      <c r="B268" s="54" t="n">
        <f aca="false">EDATE('Start Here'!$B$8,263)</f>
        <v>54332</v>
      </c>
      <c r="C268" s="42" t="n">
        <f aca="false">SUM(F268:O268)</f>
        <v>0</v>
      </c>
      <c r="D268" s="42" t="n">
        <f aca="false">ROUND(SUM($Z268:$AI268)-SUM(P267:Y267),2)</f>
        <v>0</v>
      </c>
      <c r="E268" s="55" t="n">
        <f aca="false">SUM(P268:Y268)</f>
        <v>0</v>
      </c>
      <c r="F268" s="42" t="n">
        <f aca="false">AJ268+MIN(Z268-AJ268,MAX(0,'Start Here'!$B$10-SUM($AJ268:$AS268)-SUMPRODUCT(($Z$3:$AI$3&lt;Z$3)*($Z268:$AI268-$AJ268:$AS268))))</f>
        <v>0</v>
      </c>
      <c r="G268" s="42" t="n">
        <f aca="false">AK268+MIN(AA268-AK268,MAX(0,'Start Here'!$B$10-SUM($AJ268:$AS268)-SUMPRODUCT(($Z$3:$AI$3&lt;AA$3)*($Z268:$AI268-$AJ268:$AS268))))</f>
        <v>0</v>
      </c>
      <c r="H268" s="42" t="n">
        <f aca="false">AL268+MIN(AB268-AL268,MAX(0,'Start Here'!$B$10-SUM($AJ268:$AS268)-SUMPRODUCT(($Z$3:$AI$3&lt;AB$3)*($Z268:$AI268-$AJ268:$AS268))))</f>
        <v>0</v>
      </c>
      <c r="I268" s="42" t="n">
        <f aca="false">AM268+MIN(AC268-AM268,MAX(0,'Start Here'!$B$10-SUM($AJ268:$AS268)-SUMPRODUCT(($Z$3:$AI$3&lt;AC$3)*($Z268:$AI268-$AJ268:$AS268))))</f>
        <v>0</v>
      </c>
      <c r="J268" s="42" t="n">
        <f aca="false">AN268+MIN(AD268-AN268,MAX(0,'Start Here'!$B$10-SUM($AJ268:$AS268)-SUMPRODUCT(($Z$3:$AI$3&lt;AD$3)*($Z268:$AI268-$AJ268:$AS268))))</f>
        <v>0</v>
      </c>
      <c r="K268" s="42" t="n">
        <f aca="false">AO268+MIN(AE268-AO268,MAX(0,'Start Here'!$B$10-SUM($AJ268:$AS268)-SUMPRODUCT(($Z$3:$AI$3&lt;AE$3)*($Z268:$AI268-$AJ268:$AS268))))</f>
        <v>0</v>
      </c>
      <c r="L268" s="42" t="n">
        <f aca="false">AP268+MIN(AF268-AP268,MAX(0,'Start Here'!$B$10-SUM($AJ268:$AS268)-SUMPRODUCT(($Z$3:$AI$3&lt;AF$3)*($Z268:$AI268-$AJ268:$AS268))))</f>
        <v>0</v>
      </c>
      <c r="M268" s="42" t="n">
        <f aca="false">AQ268+MIN(AG268-AQ268,MAX(0,'Start Here'!$B$10-SUM($AJ268:$AS268)-SUMPRODUCT(($Z$3:$AI$3&lt;AG$3)*($Z268:$AI268-$AJ268:$AS268))))</f>
        <v>0</v>
      </c>
      <c r="N268" s="42" t="n">
        <f aca="false">AR268+MIN(AH268-AR268,MAX(0,'Start Here'!$B$10-SUM($AJ268:$AS268)-SUMPRODUCT(($Z$3:$AI$3&lt;AH$3)*($Z268:$AI268-$AJ268:$AS268))))</f>
        <v>0</v>
      </c>
      <c r="O268" s="42" t="n">
        <f aca="false">AS268+MIN(AI268-AS268,MAX(0,'Start Here'!$B$10-SUM($AJ268:$AS268)-SUMPRODUCT(($Z$3:$AI$3&lt;AI$3)*($Z268:$AI268-$AJ268:$AS268))))</f>
        <v>0</v>
      </c>
      <c r="P268" s="42" t="n">
        <f aca="false">ROUND(Z268-F268,2)</f>
        <v>0</v>
      </c>
      <c r="Q268" s="42" t="n">
        <f aca="false">ROUND(AA268-G268,2)</f>
        <v>0</v>
      </c>
      <c r="R268" s="42" t="n">
        <f aca="false">ROUND(AB268-H268,2)</f>
        <v>0</v>
      </c>
      <c r="S268" s="42" t="n">
        <f aca="false">ROUND(AC268-I268,2)</f>
        <v>0</v>
      </c>
      <c r="T268" s="42" t="n">
        <f aca="false">ROUND(AD268-J268,2)</f>
        <v>0</v>
      </c>
      <c r="U268" s="42" t="n">
        <f aca="false">ROUND(AE268-K268,2)</f>
        <v>0</v>
      </c>
      <c r="V268" s="42" t="n">
        <f aca="false">ROUND(AF268-L268,2)</f>
        <v>0</v>
      </c>
      <c r="W268" s="42" t="n">
        <f aca="false">ROUND(AG268-M268,2)</f>
        <v>0</v>
      </c>
      <c r="X268" s="42" t="n">
        <f aca="false">ROUND(AH268-N268,2)</f>
        <v>0</v>
      </c>
      <c r="Y268" s="42" t="n">
        <f aca="false">ROUND(AI268-O268,2)</f>
        <v>0</v>
      </c>
      <c r="Z268" s="56" t="n">
        <f aca="false">ROUND(P267*(1+N(Debts!$D$5)/12),2)</f>
        <v>0</v>
      </c>
      <c r="AA268" s="56" t="n">
        <f aca="false">ROUND(Q267*(1+N(Debts!$D$6)/12),2)</f>
        <v>0</v>
      </c>
      <c r="AB268" s="56" t="n">
        <f aca="false">ROUND(R267*(1+N(Debts!$D$7)/12),2)</f>
        <v>0</v>
      </c>
      <c r="AC268" s="56" t="n">
        <f aca="false">ROUND(S267*(1+N(Debts!$D$8)/12),2)</f>
        <v>0</v>
      </c>
      <c r="AD268" s="56" t="n">
        <f aca="false">ROUND(T267*(1+N(Debts!$D$9)/12),2)</f>
        <v>0</v>
      </c>
      <c r="AE268" s="56" t="n">
        <f aca="false">ROUND(U267*(1+N(Debts!$D$10)/12),2)</f>
        <v>0</v>
      </c>
      <c r="AF268" s="56" t="n">
        <f aca="false">ROUND(V267*(1+N(Debts!$D$11)/12),2)</f>
        <v>0</v>
      </c>
      <c r="AG268" s="56" t="n">
        <f aca="false">ROUND(W267*(1+N(Debts!$D$12)/12),2)</f>
        <v>0</v>
      </c>
      <c r="AH268" s="56" t="n">
        <f aca="false">ROUND(X267*(1+N(Debts!$D$13)/12),2)</f>
        <v>0</v>
      </c>
      <c r="AI268" s="56" t="n">
        <f aca="false">ROUND(Y267*(1+N(Debts!$D$14)/12),2)</f>
        <v>0</v>
      </c>
      <c r="AJ268" s="56" t="n">
        <f aca="false">MIN(Z268,MAX(0,N(Debts!$E$5)))</f>
        <v>0</v>
      </c>
      <c r="AK268" s="56" t="n">
        <f aca="false">MIN(AA268,MAX(0,N(Debts!$E$6)))</f>
        <v>0</v>
      </c>
      <c r="AL268" s="56" t="n">
        <f aca="false">MIN(AB268,MAX(0,N(Debts!$E$7)))</f>
        <v>0</v>
      </c>
      <c r="AM268" s="56" t="n">
        <f aca="false">MIN(AC268,MAX(0,N(Debts!$E$8)))</f>
        <v>0</v>
      </c>
      <c r="AN268" s="56" t="n">
        <f aca="false">MIN(AD268,MAX(0,N(Debts!$E$9)))</f>
        <v>0</v>
      </c>
      <c r="AO268" s="56" t="n">
        <f aca="false">MIN(AE268,MAX(0,N(Debts!$E$10)))</f>
        <v>0</v>
      </c>
      <c r="AP268" s="56" t="n">
        <f aca="false">MIN(AF268,MAX(0,N(Debts!$E$11)))</f>
        <v>0</v>
      </c>
      <c r="AQ268" s="56" t="n">
        <f aca="false">MIN(AG268,MAX(0,N(Debts!$E$12)))</f>
        <v>0</v>
      </c>
      <c r="AR268" s="56" t="n">
        <f aca="false">MIN(AH268,MAX(0,N(Debts!$E$13)))</f>
        <v>0</v>
      </c>
      <c r="AS268" s="56" t="n">
        <f aca="false">MIN(AI268,MAX(0,N(Debts!$E$14)))</f>
        <v>0</v>
      </c>
    </row>
    <row r="269" customFormat="false" ht="15" hidden="false" customHeight="false" outlineLevel="0" collapsed="false">
      <c r="A269" s="53" t="n">
        <v>265</v>
      </c>
      <c r="B269" s="54" t="n">
        <f aca="false">EDATE('Start Here'!$B$8,264)</f>
        <v>54363</v>
      </c>
      <c r="C269" s="42" t="n">
        <f aca="false">SUM(F269:O269)</f>
        <v>0</v>
      </c>
      <c r="D269" s="42" t="n">
        <f aca="false">ROUND(SUM($Z269:$AI269)-SUM(P268:Y268),2)</f>
        <v>0</v>
      </c>
      <c r="E269" s="55" t="n">
        <f aca="false">SUM(P269:Y269)</f>
        <v>0</v>
      </c>
      <c r="F269" s="42" t="n">
        <f aca="false">AJ269+MIN(Z269-AJ269,MAX(0,'Start Here'!$B$10-SUM($AJ269:$AS269)-SUMPRODUCT(($Z$3:$AI$3&lt;Z$3)*($Z269:$AI269-$AJ269:$AS269))))</f>
        <v>0</v>
      </c>
      <c r="G269" s="42" t="n">
        <f aca="false">AK269+MIN(AA269-AK269,MAX(0,'Start Here'!$B$10-SUM($AJ269:$AS269)-SUMPRODUCT(($Z$3:$AI$3&lt;AA$3)*($Z269:$AI269-$AJ269:$AS269))))</f>
        <v>0</v>
      </c>
      <c r="H269" s="42" t="n">
        <f aca="false">AL269+MIN(AB269-AL269,MAX(0,'Start Here'!$B$10-SUM($AJ269:$AS269)-SUMPRODUCT(($Z$3:$AI$3&lt;AB$3)*($Z269:$AI269-$AJ269:$AS269))))</f>
        <v>0</v>
      </c>
      <c r="I269" s="42" t="n">
        <f aca="false">AM269+MIN(AC269-AM269,MAX(0,'Start Here'!$B$10-SUM($AJ269:$AS269)-SUMPRODUCT(($Z$3:$AI$3&lt;AC$3)*($Z269:$AI269-$AJ269:$AS269))))</f>
        <v>0</v>
      </c>
      <c r="J269" s="42" t="n">
        <f aca="false">AN269+MIN(AD269-AN269,MAX(0,'Start Here'!$B$10-SUM($AJ269:$AS269)-SUMPRODUCT(($Z$3:$AI$3&lt;AD$3)*($Z269:$AI269-$AJ269:$AS269))))</f>
        <v>0</v>
      </c>
      <c r="K269" s="42" t="n">
        <f aca="false">AO269+MIN(AE269-AO269,MAX(0,'Start Here'!$B$10-SUM($AJ269:$AS269)-SUMPRODUCT(($Z$3:$AI$3&lt;AE$3)*($Z269:$AI269-$AJ269:$AS269))))</f>
        <v>0</v>
      </c>
      <c r="L269" s="42" t="n">
        <f aca="false">AP269+MIN(AF269-AP269,MAX(0,'Start Here'!$B$10-SUM($AJ269:$AS269)-SUMPRODUCT(($Z$3:$AI$3&lt;AF$3)*($Z269:$AI269-$AJ269:$AS269))))</f>
        <v>0</v>
      </c>
      <c r="M269" s="42" t="n">
        <f aca="false">AQ269+MIN(AG269-AQ269,MAX(0,'Start Here'!$B$10-SUM($AJ269:$AS269)-SUMPRODUCT(($Z$3:$AI$3&lt;AG$3)*($Z269:$AI269-$AJ269:$AS269))))</f>
        <v>0</v>
      </c>
      <c r="N269" s="42" t="n">
        <f aca="false">AR269+MIN(AH269-AR269,MAX(0,'Start Here'!$B$10-SUM($AJ269:$AS269)-SUMPRODUCT(($Z$3:$AI$3&lt;AH$3)*($Z269:$AI269-$AJ269:$AS269))))</f>
        <v>0</v>
      </c>
      <c r="O269" s="42" t="n">
        <f aca="false">AS269+MIN(AI269-AS269,MAX(0,'Start Here'!$B$10-SUM($AJ269:$AS269)-SUMPRODUCT(($Z$3:$AI$3&lt;AI$3)*($Z269:$AI269-$AJ269:$AS269))))</f>
        <v>0</v>
      </c>
      <c r="P269" s="42" t="n">
        <f aca="false">ROUND(Z269-F269,2)</f>
        <v>0</v>
      </c>
      <c r="Q269" s="42" t="n">
        <f aca="false">ROUND(AA269-G269,2)</f>
        <v>0</v>
      </c>
      <c r="R269" s="42" t="n">
        <f aca="false">ROUND(AB269-H269,2)</f>
        <v>0</v>
      </c>
      <c r="S269" s="42" t="n">
        <f aca="false">ROUND(AC269-I269,2)</f>
        <v>0</v>
      </c>
      <c r="T269" s="42" t="n">
        <f aca="false">ROUND(AD269-J269,2)</f>
        <v>0</v>
      </c>
      <c r="U269" s="42" t="n">
        <f aca="false">ROUND(AE269-K269,2)</f>
        <v>0</v>
      </c>
      <c r="V269" s="42" t="n">
        <f aca="false">ROUND(AF269-L269,2)</f>
        <v>0</v>
      </c>
      <c r="W269" s="42" t="n">
        <f aca="false">ROUND(AG269-M269,2)</f>
        <v>0</v>
      </c>
      <c r="X269" s="42" t="n">
        <f aca="false">ROUND(AH269-N269,2)</f>
        <v>0</v>
      </c>
      <c r="Y269" s="42" t="n">
        <f aca="false">ROUND(AI269-O269,2)</f>
        <v>0</v>
      </c>
      <c r="Z269" s="56" t="n">
        <f aca="false">ROUND(P268*(1+N(Debts!$D$5)/12),2)</f>
        <v>0</v>
      </c>
      <c r="AA269" s="56" t="n">
        <f aca="false">ROUND(Q268*(1+N(Debts!$D$6)/12),2)</f>
        <v>0</v>
      </c>
      <c r="AB269" s="56" t="n">
        <f aca="false">ROUND(R268*(1+N(Debts!$D$7)/12),2)</f>
        <v>0</v>
      </c>
      <c r="AC269" s="56" t="n">
        <f aca="false">ROUND(S268*(1+N(Debts!$D$8)/12),2)</f>
        <v>0</v>
      </c>
      <c r="AD269" s="56" t="n">
        <f aca="false">ROUND(T268*(1+N(Debts!$D$9)/12),2)</f>
        <v>0</v>
      </c>
      <c r="AE269" s="56" t="n">
        <f aca="false">ROUND(U268*(1+N(Debts!$D$10)/12),2)</f>
        <v>0</v>
      </c>
      <c r="AF269" s="56" t="n">
        <f aca="false">ROUND(V268*(1+N(Debts!$D$11)/12),2)</f>
        <v>0</v>
      </c>
      <c r="AG269" s="56" t="n">
        <f aca="false">ROUND(W268*(1+N(Debts!$D$12)/12),2)</f>
        <v>0</v>
      </c>
      <c r="AH269" s="56" t="n">
        <f aca="false">ROUND(X268*(1+N(Debts!$D$13)/12),2)</f>
        <v>0</v>
      </c>
      <c r="AI269" s="56" t="n">
        <f aca="false">ROUND(Y268*(1+N(Debts!$D$14)/12),2)</f>
        <v>0</v>
      </c>
      <c r="AJ269" s="56" t="n">
        <f aca="false">MIN(Z269,MAX(0,N(Debts!$E$5)))</f>
        <v>0</v>
      </c>
      <c r="AK269" s="56" t="n">
        <f aca="false">MIN(AA269,MAX(0,N(Debts!$E$6)))</f>
        <v>0</v>
      </c>
      <c r="AL269" s="56" t="n">
        <f aca="false">MIN(AB269,MAX(0,N(Debts!$E$7)))</f>
        <v>0</v>
      </c>
      <c r="AM269" s="56" t="n">
        <f aca="false">MIN(AC269,MAX(0,N(Debts!$E$8)))</f>
        <v>0</v>
      </c>
      <c r="AN269" s="56" t="n">
        <f aca="false">MIN(AD269,MAX(0,N(Debts!$E$9)))</f>
        <v>0</v>
      </c>
      <c r="AO269" s="56" t="n">
        <f aca="false">MIN(AE269,MAX(0,N(Debts!$E$10)))</f>
        <v>0</v>
      </c>
      <c r="AP269" s="56" t="n">
        <f aca="false">MIN(AF269,MAX(0,N(Debts!$E$11)))</f>
        <v>0</v>
      </c>
      <c r="AQ269" s="56" t="n">
        <f aca="false">MIN(AG269,MAX(0,N(Debts!$E$12)))</f>
        <v>0</v>
      </c>
      <c r="AR269" s="56" t="n">
        <f aca="false">MIN(AH269,MAX(0,N(Debts!$E$13)))</f>
        <v>0</v>
      </c>
      <c r="AS269" s="56" t="n">
        <f aca="false">MIN(AI269,MAX(0,N(Debts!$E$14)))</f>
        <v>0</v>
      </c>
    </row>
    <row r="270" customFormat="false" ht="15" hidden="false" customHeight="false" outlineLevel="0" collapsed="false">
      <c r="A270" s="53" t="n">
        <v>266</v>
      </c>
      <c r="B270" s="54" t="n">
        <f aca="false">EDATE('Start Here'!$B$8,265)</f>
        <v>54393</v>
      </c>
      <c r="C270" s="42" t="n">
        <f aca="false">SUM(F270:O270)</f>
        <v>0</v>
      </c>
      <c r="D270" s="42" t="n">
        <f aca="false">ROUND(SUM($Z270:$AI270)-SUM(P269:Y269),2)</f>
        <v>0</v>
      </c>
      <c r="E270" s="55" t="n">
        <f aca="false">SUM(P270:Y270)</f>
        <v>0</v>
      </c>
      <c r="F270" s="42" t="n">
        <f aca="false">AJ270+MIN(Z270-AJ270,MAX(0,'Start Here'!$B$10-SUM($AJ270:$AS270)-SUMPRODUCT(($Z$3:$AI$3&lt;Z$3)*($Z270:$AI270-$AJ270:$AS270))))</f>
        <v>0</v>
      </c>
      <c r="G270" s="42" t="n">
        <f aca="false">AK270+MIN(AA270-AK270,MAX(0,'Start Here'!$B$10-SUM($AJ270:$AS270)-SUMPRODUCT(($Z$3:$AI$3&lt;AA$3)*($Z270:$AI270-$AJ270:$AS270))))</f>
        <v>0</v>
      </c>
      <c r="H270" s="42" t="n">
        <f aca="false">AL270+MIN(AB270-AL270,MAX(0,'Start Here'!$B$10-SUM($AJ270:$AS270)-SUMPRODUCT(($Z$3:$AI$3&lt;AB$3)*($Z270:$AI270-$AJ270:$AS270))))</f>
        <v>0</v>
      </c>
      <c r="I270" s="42" t="n">
        <f aca="false">AM270+MIN(AC270-AM270,MAX(0,'Start Here'!$B$10-SUM($AJ270:$AS270)-SUMPRODUCT(($Z$3:$AI$3&lt;AC$3)*($Z270:$AI270-$AJ270:$AS270))))</f>
        <v>0</v>
      </c>
      <c r="J270" s="42" t="n">
        <f aca="false">AN270+MIN(AD270-AN270,MAX(0,'Start Here'!$B$10-SUM($AJ270:$AS270)-SUMPRODUCT(($Z$3:$AI$3&lt;AD$3)*($Z270:$AI270-$AJ270:$AS270))))</f>
        <v>0</v>
      </c>
      <c r="K270" s="42" t="n">
        <f aca="false">AO270+MIN(AE270-AO270,MAX(0,'Start Here'!$B$10-SUM($AJ270:$AS270)-SUMPRODUCT(($Z$3:$AI$3&lt;AE$3)*($Z270:$AI270-$AJ270:$AS270))))</f>
        <v>0</v>
      </c>
      <c r="L270" s="42" t="n">
        <f aca="false">AP270+MIN(AF270-AP270,MAX(0,'Start Here'!$B$10-SUM($AJ270:$AS270)-SUMPRODUCT(($Z$3:$AI$3&lt;AF$3)*($Z270:$AI270-$AJ270:$AS270))))</f>
        <v>0</v>
      </c>
      <c r="M270" s="42" t="n">
        <f aca="false">AQ270+MIN(AG270-AQ270,MAX(0,'Start Here'!$B$10-SUM($AJ270:$AS270)-SUMPRODUCT(($Z$3:$AI$3&lt;AG$3)*($Z270:$AI270-$AJ270:$AS270))))</f>
        <v>0</v>
      </c>
      <c r="N270" s="42" t="n">
        <f aca="false">AR270+MIN(AH270-AR270,MAX(0,'Start Here'!$B$10-SUM($AJ270:$AS270)-SUMPRODUCT(($Z$3:$AI$3&lt;AH$3)*($Z270:$AI270-$AJ270:$AS270))))</f>
        <v>0</v>
      </c>
      <c r="O270" s="42" t="n">
        <f aca="false">AS270+MIN(AI270-AS270,MAX(0,'Start Here'!$B$10-SUM($AJ270:$AS270)-SUMPRODUCT(($Z$3:$AI$3&lt;AI$3)*($Z270:$AI270-$AJ270:$AS270))))</f>
        <v>0</v>
      </c>
      <c r="P270" s="42" t="n">
        <f aca="false">ROUND(Z270-F270,2)</f>
        <v>0</v>
      </c>
      <c r="Q270" s="42" t="n">
        <f aca="false">ROUND(AA270-G270,2)</f>
        <v>0</v>
      </c>
      <c r="R270" s="42" t="n">
        <f aca="false">ROUND(AB270-H270,2)</f>
        <v>0</v>
      </c>
      <c r="S270" s="42" t="n">
        <f aca="false">ROUND(AC270-I270,2)</f>
        <v>0</v>
      </c>
      <c r="T270" s="42" t="n">
        <f aca="false">ROUND(AD270-J270,2)</f>
        <v>0</v>
      </c>
      <c r="U270" s="42" t="n">
        <f aca="false">ROUND(AE270-K270,2)</f>
        <v>0</v>
      </c>
      <c r="V270" s="42" t="n">
        <f aca="false">ROUND(AF270-L270,2)</f>
        <v>0</v>
      </c>
      <c r="W270" s="42" t="n">
        <f aca="false">ROUND(AG270-M270,2)</f>
        <v>0</v>
      </c>
      <c r="X270" s="42" t="n">
        <f aca="false">ROUND(AH270-N270,2)</f>
        <v>0</v>
      </c>
      <c r="Y270" s="42" t="n">
        <f aca="false">ROUND(AI270-O270,2)</f>
        <v>0</v>
      </c>
      <c r="Z270" s="56" t="n">
        <f aca="false">ROUND(P269*(1+N(Debts!$D$5)/12),2)</f>
        <v>0</v>
      </c>
      <c r="AA270" s="56" t="n">
        <f aca="false">ROUND(Q269*(1+N(Debts!$D$6)/12),2)</f>
        <v>0</v>
      </c>
      <c r="AB270" s="56" t="n">
        <f aca="false">ROUND(R269*(1+N(Debts!$D$7)/12),2)</f>
        <v>0</v>
      </c>
      <c r="AC270" s="56" t="n">
        <f aca="false">ROUND(S269*(1+N(Debts!$D$8)/12),2)</f>
        <v>0</v>
      </c>
      <c r="AD270" s="56" t="n">
        <f aca="false">ROUND(T269*(1+N(Debts!$D$9)/12),2)</f>
        <v>0</v>
      </c>
      <c r="AE270" s="56" t="n">
        <f aca="false">ROUND(U269*(1+N(Debts!$D$10)/12),2)</f>
        <v>0</v>
      </c>
      <c r="AF270" s="56" t="n">
        <f aca="false">ROUND(V269*(1+N(Debts!$D$11)/12),2)</f>
        <v>0</v>
      </c>
      <c r="AG270" s="56" t="n">
        <f aca="false">ROUND(W269*(1+N(Debts!$D$12)/12),2)</f>
        <v>0</v>
      </c>
      <c r="AH270" s="56" t="n">
        <f aca="false">ROUND(X269*(1+N(Debts!$D$13)/12),2)</f>
        <v>0</v>
      </c>
      <c r="AI270" s="56" t="n">
        <f aca="false">ROUND(Y269*(1+N(Debts!$D$14)/12),2)</f>
        <v>0</v>
      </c>
      <c r="AJ270" s="56" t="n">
        <f aca="false">MIN(Z270,MAX(0,N(Debts!$E$5)))</f>
        <v>0</v>
      </c>
      <c r="AK270" s="56" t="n">
        <f aca="false">MIN(AA270,MAX(0,N(Debts!$E$6)))</f>
        <v>0</v>
      </c>
      <c r="AL270" s="56" t="n">
        <f aca="false">MIN(AB270,MAX(0,N(Debts!$E$7)))</f>
        <v>0</v>
      </c>
      <c r="AM270" s="56" t="n">
        <f aca="false">MIN(AC270,MAX(0,N(Debts!$E$8)))</f>
        <v>0</v>
      </c>
      <c r="AN270" s="56" t="n">
        <f aca="false">MIN(AD270,MAX(0,N(Debts!$E$9)))</f>
        <v>0</v>
      </c>
      <c r="AO270" s="56" t="n">
        <f aca="false">MIN(AE270,MAX(0,N(Debts!$E$10)))</f>
        <v>0</v>
      </c>
      <c r="AP270" s="56" t="n">
        <f aca="false">MIN(AF270,MAX(0,N(Debts!$E$11)))</f>
        <v>0</v>
      </c>
      <c r="AQ270" s="56" t="n">
        <f aca="false">MIN(AG270,MAX(0,N(Debts!$E$12)))</f>
        <v>0</v>
      </c>
      <c r="AR270" s="56" t="n">
        <f aca="false">MIN(AH270,MAX(0,N(Debts!$E$13)))</f>
        <v>0</v>
      </c>
      <c r="AS270" s="56" t="n">
        <f aca="false">MIN(AI270,MAX(0,N(Debts!$E$14)))</f>
        <v>0</v>
      </c>
    </row>
    <row r="271" customFormat="false" ht="15" hidden="false" customHeight="false" outlineLevel="0" collapsed="false">
      <c r="A271" s="53" t="n">
        <v>267</v>
      </c>
      <c r="B271" s="54" t="n">
        <f aca="false">EDATE('Start Here'!$B$8,266)</f>
        <v>54424</v>
      </c>
      <c r="C271" s="42" t="n">
        <f aca="false">SUM(F271:O271)</f>
        <v>0</v>
      </c>
      <c r="D271" s="42" t="n">
        <f aca="false">ROUND(SUM($Z271:$AI271)-SUM(P270:Y270),2)</f>
        <v>0</v>
      </c>
      <c r="E271" s="55" t="n">
        <f aca="false">SUM(P271:Y271)</f>
        <v>0</v>
      </c>
      <c r="F271" s="42" t="n">
        <f aca="false">AJ271+MIN(Z271-AJ271,MAX(0,'Start Here'!$B$10-SUM($AJ271:$AS271)-SUMPRODUCT(($Z$3:$AI$3&lt;Z$3)*($Z271:$AI271-$AJ271:$AS271))))</f>
        <v>0</v>
      </c>
      <c r="G271" s="42" t="n">
        <f aca="false">AK271+MIN(AA271-AK271,MAX(0,'Start Here'!$B$10-SUM($AJ271:$AS271)-SUMPRODUCT(($Z$3:$AI$3&lt;AA$3)*($Z271:$AI271-$AJ271:$AS271))))</f>
        <v>0</v>
      </c>
      <c r="H271" s="42" t="n">
        <f aca="false">AL271+MIN(AB271-AL271,MAX(0,'Start Here'!$B$10-SUM($AJ271:$AS271)-SUMPRODUCT(($Z$3:$AI$3&lt;AB$3)*($Z271:$AI271-$AJ271:$AS271))))</f>
        <v>0</v>
      </c>
      <c r="I271" s="42" t="n">
        <f aca="false">AM271+MIN(AC271-AM271,MAX(0,'Start Here'!$B$10-SUM($AJ271:$AS271)-SUMPRODUCT(($Z$3:$AI$3&lt;AC$3)*($Z271:$AI271-$AJ271:$AS271))))</f>
        <v>0</v>
      </c>
      <c r="J271" s="42" t="n">
        <f aca="false">AN271+MIN(AD271-AN271,MAX(0,'Start Here'!$B$10-SUM($AJ271:$AS271)-SUMPRODUCT(($Z$3:$AI$3&lt;AD$3)*($Z271:$AI271-$AJ271:$AS271))))</f>
        <v>0</v>
      </c>
      <c r="K271" s="42" t="n">
        <f aca="false">AO271+MIN(AE271-AO271,MAX(0,'Start Here'!$B$10-SUM($AJ271:$AS271)-SUMPRODUCT(($Z$3:$AI$3&lt;AE$3)*($Z271:$AI271-$AJ271:$AS271))))</f>
        <v>0</v>
      </c>
      <c r="L271" s="42" t="n">
        <f aca="false">AP271+MIN(AF271-AP271,MAX(0,'Start Here'!$B$10-SUM($AJ271:$AS271)-SUMPRODUCT(($Z$3:$AI$3&lt;AF$3)*($Z271:$AI271-$AJ271:$AS271))))</f>
        <v>0</v>
      </c>
      <c r="M271" s="42" t="n">
        <f aca="false">AQ271+MIN(AG271-AQ271,MAX(0,'Start Here'!$B$10-SUM($AJ271:$AS271)-SUMPRODUCT(($Z$3:$AI$3&lt;AG$3)*($Z271:$AI271-$AJ271:$AS271))))</f>
        <v>0</v>
      </c>
      <c r="N271" s="42" t="n">
        <f aca="false">AR271+MIN(AH271-AR271,MAX(0,'Start Here'!$B$10-SUM($AJ271:$AS271)-SUMPRODUCT(($Z$3:$AI$3&lt;AH$3)*($Z271:$AI271-$AJ271:$AS271))))</f>
        <v>0</v>
      </c>
      <c r="O271" s="42" t="n">
        <f aca="false">AS271+MIN(AI271-AS271,MAX(0,'Start Here'!$B$10-SUM($AJ271:$AS271)-SUMPRODUCT(($Z$3:$AI$3&lt;AI$3)*($Z271:$AI271-$AJ271:$AS271))))</f>
        <v>0</v>
      </c>
      <c r="P271" s="42" t="n">
        <f aca="false">ROUND(Z271-F271,2)</f>
        <v>0</v>
      </c>
      <c r="Q271" s="42" t="n">
        <f aca="false">ROUND(AA271-G271,2)</f>
        <v>0</v>
      </c>
      <c r="R271" s="42" t="n">
        <f aca="false">ROUND(AB271-H271,2)</f>
        <v>0</v>
      </c>
      <c r="S271" s="42" t="n">
        <f aca="false">ROUND(AC271-I271,2)</f>
        <v>0</v>
      </c>
      <c r="T271" s="42" t="n">
        <f aca="false">ROUND(AD271-J271,2)</f>
        <v>0</v>
      </c>
      <c r="U271" s="42" t="n">
        <f aca="false">ROUND(AE271-K271,2)</f>
        <v>0</v>
      </c>
      <c r="V271" s="42" t="n">
        <f aca="false">ROUND(AF271-L271,2)</f>
        <v>0</v>
      </c>
      <c r="W271" s="42" t="n">
        <f aca="false">ROUND(AG271-M271,2)</f>
        <v>0</v>
      </c>
      <c r="X271" s="42" t="n">
        <f aca="false">ROUND(AH271-N271,2)</f>
        <v>0</v>
      </c>
      <c r="Y271" s="42" t="n">
        <f aca="false">ROUND(AI271-O271,2)</f>
        <v>0</v>
      </c>
      <c r="Z271" s="56" t="n">
        <f aca="false">ROUND(P270*(1+N(Debts!$D$5)/12),2)</f>
        <v>0</v>
      </c>
      <c r="AA271" s="56" t="n">
        <f aca="false">ROUND(Q270*(1+N(Debts!$D$6)/12),2)</f>
        <v>0</v>
      </c>
      <c r="AB271" s="56" t="n">
        <f aca="false">ROUND(R270*(1+N(Debts!$D$7)/12),2)</f>
        <v>0</v>
      </c>
      <c r="AC271" s="56" t="n">
        <f aca="false">ROUND(S270*(1+N(Debts!$D$8)/12),2)</f>
        <v>0</v>
      </c>
      <c r="AD271" s="56" t="n">
        <f aca="false">ROUND(T270*(1+N(Debts!$D$9)/12),2)</f>
        <v>0</v>
      </c>
      <c r="AE271" s="56" t="n">
        <f aca="false">ROUND(U270*(1+N(Debts!$D$10)/12),2)</f>
        <v>0</v>
      </c>
      <c r="AF271" s="56" t="n">
        <f aca="false">ROUND(V270*(1+N(Debts!$D$11)/12),2)</f>
        <v>0</v>
      </c>
      <c r="AG271" s="56" t="n">
        <f aca="false">ROUND(W270*(1+N(Debts!$D$12)/12),2)</f>
        <v>0</v>
      </c>
      <c r="AH271" s="56" t="n">
        <f aca="false">ROUND(X270*(1+N(Debts!$D$13)/12),2)</f>
        <v>0</v>
      </c>
      <c r="AI271" s="56" t="n">
        <f aca="false">ROUND(Y270*(1+N(Debts!$D$14)/12),2)</f>
        <v>0</v>
      </c>
      <c r="AJ271" s="56" t="n">
        <f aca="false">MIN(Z271,MAX(0,N(Debts!$E$5)))</f>
        <v>0</v>
      </c>
      <c r="AK271" s="56" t="n">
        <f aca="false">MIN(AA271,MAX(0,N(Debts!$E$6)))</f>
        <v>0</v>
      </c>
      <c r="AL271" s="56" t="n">
        <f aca="false">MIN(AB271,MAX(0,N(Debts!$E$7)))</f>
        <v>0</v>
      </c>
      <c r="AM271" s="56" t="n">
        <f aca="false">MIN(AC271,MAX(0,N(Debts!$E$8)))</f>
        <v>0</v>
      </c>
      <c r="AN271" s="56" t="n">
        <f aca="false">MIN(AD271,MAX(0,N(Debts!$E$9)))</f>
        <v>0</v>
      </c>
      <c r="AO271" s="56" t="n">
        <f aca="false">MIN(AE271,MAX(0,N(Debts!$E$10)))</f>
        <v>0</v>
      </c>
      <c r="AP271" s="56" t="n">
        <f aca="false">MIN(AF271,MAX(0,N(Debts!$E$11)))</f>
        <v>0</v>
      </c>
      <c r="AQ271" s="56" t="n">
        <f aca="false">MIN(AG271,MAX(0,N(Debts!$E$12)))</f>
        <v>0</v>
      </c>
      <c r="AR271" s="56" t="n">
        <f aca="false">MIN(AH271,MAX(0,N(Debts!$E$13)))</f>
        <v>0</v>
      </c>
      <c r="AS271" s="56" t="n">
        <f aca="false">MIN(AI271,MAX(0,N(Debts!$E$14)))</f>
        <v>0</v>
      </c>
    </row>
    <row r="272" customFormat="false" ht="15" hidden="false" customHeight="false" outlineLevel="0" collapsed="false">
      <c r="A272" s="53" t="n">
        <v>268</v>
      </c>
      <c r="B272" s="54" t="n">
        <f aca="false">EDATE('Start Here'!$B$8,267)</f>
        <v>54455</v>
      </c>
      <c r="C272" s="42" t="n">
        <f aca="false">SUM(F272:O272)</f>
        <v>0</v>
      </c>
      <c r="D272" s="42" t="n">
        <f aca="false">ROUND(SUM($Z272:$AI272)-SUM(P271:Y271),2)</f>
        <v>0</v>
      </c>
      <c r="E272" s="55" t="n">
        <f aca="false">SUM(P272:Y272)</f>
        <v>0</v>
      </c>
      <c r="F272" s="42" t="n">
        <f aca="false">AJ272+MIN(Z272-AJ272,MAX(0,'Start Here'!$B$10-SUM($AJ272:$AS272)-SUMPRODUCT(($Z$3:$AI$3&lt;Z$3)*($Z272:$AI272-$AJ272:$AS272))))</f>
        <v>0</v>
      </c>
      <c r="G272" s="42" t="n">
        <f aca="false">AK272+MIN(AA272-AK272,MAX(0,'Start Here'!$B$10-SUM($AJ272:$AS272)-SUMPRODUCT(($Z$3:$AI$3&lt;AA$3)*($Z272:$AI272-$AJ272:$AS272))))</f>
        <v>0</v>
      </c>
      <c r="H272" s="42" t="n">
        <f aca="false">AL272+MIN(AB272-AL272,MAX(0,'Start Here'!$B$10-SUM($AJ272:$AS272)-SUMPRODUCT(($Z$3:$AI$3&lt;AB$3)*($Z272:$AI272-$AJ272:$AS272))))</f>
        <v>0</v>
      </c>
      <c r="I272" s="42" t="n">
        <f aca="false">AM272+MIN(AC272-AM272,MAX(0,'Start Here'!$B$10-SUM($AJ272:$AS272)-SUMPRODUCT(($Z$3:$AI$3&lt;AC$3)*($Z272:$AI272-$AJ272:$AS272))))</f>
        <v>0</v>
      </c>
      <c r="J272" s="42" t="n">
        <f aca="false">AN272+MIN(AD272-AN272,MAX(0,'Start Here'!$B$10-SUM($AJ272:$AS272)-SUMPRODUCT(($Z$3:$AI$3&lt;AD$3)*($Z272:$AI272-$AJ272:$AS272))))</f>
        <v>0</v>
      </c>
      <c r="K272" s="42" t="n">
        <f aca="false">AO272+MIN(AE272-AO272,MAX(0,'Start Here'!$B$10-SUM($AJ272:$AS272)-SUMPRODUCT(($Z$3:$AI$3&lt;AE$3)*($Z272:$AI272-$AJ272:$AS272))))</f>
        <v>0</v>
      </c>
      <c r="L272" s="42" t="n">
        <f aca="false">AP272+MIN(AF272-AP272,MAX(0,'Start Here'!$B$10-SUM($AJ272:$AS272)-SUMPRODUCT(($Z$3:$AI$3&lt;AF$3)*($Z272:$AI272-$AJ272:$AS272))))</f>
        <v>0</v>
      </c>
      <c r="M272" s="42" t="n">
        <f aca="false">AQ272+MIN(AG272-AQ272,MAX(0,'Start Here'!$B$10-SUM($AJ272:$AS272)-SUMPRODUCT(($Z$3:$AI$3&lt;AG$3)*($Z272:$AI272-$AJ272:$AS272))))</f>
        <v>0</v>
      </c>
      <c r="N272" s="42" t="n">
        <f aca="false">AR272+MIN(AH272-AR272,MAX(0,'Start Here'!$B$10-SUM($AJ272:$AS272)-SUMPRODUCT(($Z$3:$AI$3&lt;AH$3)*($Z272:$AI272-$AJ272:$AS272))))</f>
        <v>0</v>
      </c>
      <c r="O272" s="42" t="n">
        <f aca="false">AS272+MIN(AI272-AS272,MAX(0,'Start Here'!$B$10-SUM($AJ272:$AS272)-SUMPRODUCT(($Z$3:$AI$3&lt;AI$3)*($Z272:$AI272-$AJ272:$AS272))))</f>
        <v>0</v>
      </c>
      <c r="P272" s="42" t="n">
        <f aca="false">ROUND(Z272-F272,2)</f>
        <v>0</v>
      </c>
      <c r="Q272" s="42" t="n">
        <f aca="false">ROUND(AA272-G272,2)</f>
        <v>0</v>
      </c>
      <c r="R272" s="42" t="n">
        <f aca="false">ROUND(AB272-H272,2)</f>
        <v>0</v>
      </c>
      <c r="S272" s="42" t="n">
        <f aca="false">ROUND(AC272-I272,2)</f>
        <v>0</v>
      </c>
      <c r="T272" s="42" t="n">
        <f aca="false">ROUND(AD272-J272,2)</f>
        <v>0</v>
      </c>
      <c r="U272" s="42" t="n">
        <f aca="false">ROUND(AE272-K272,2)</f>
        <v>0</v>
      </c>
      <c r="V272" s="42" t="n">
        <f aca="false">ROUND(AF272-L272,2)</f>
        <v>0</v>
      </c>
      <c r="W272" s="42" t="n">
        <f aca="false">ROUND(AG272-M272,2)</f>
        <v>0</v>
      </c>
      <c r="X272" s="42" t="n">
        <f aca="false">ROUND(AH272-N272,2)</f>
        <v>0</v>
      </c>
      <c r="Y272" s="42" t="n">
        <f aca="false">ROUND(AI272-O272,2)</f>
        <v>0</v>
      </c>
      <c r="Z272" s="56" t="n">
        <f aca="false">ROUND(P271*(1+N(Debts!$D$5)/12),2)</f>
        <v>0</v>
      </c>
      <c r="AA272" s="56" t="n">
        <f aca="false">ROUND(Q271*(1+N(Debts!$D$6)/12),2)</f>
        <v>0</v>
      </c>
      <c r="AB272" s="56" t="n">
        <f aca="false">ROUND(R271*(1+N(Debts!$D$7)/12),2)</f>
        <v>0</v>
      </c>
      <c r="AC272" s="56" t="n">
        <f aca="false">ROUND(S271*(1+N(Debts!$D$8)/12),2)</f>
        <v>0</v>
      </c>
      <c r="AD272" s="56" t="n">
        <f aca="false">ROUND(T271*(1+N(Debts!$D$9)/12),2)</f>
        <v>0</v>
      </c>
      <c r="AE272" s="56" t="n">
        <f aca="false">ROUND(U271*(1+N(Debts!$D$10)/12),2)</f>
        <v>0</v>
      </c>
      <c r="AF272" s="56" t="n">
        <f aca="false">ROUND(V271*(1+N(Debts!$D$11)/12),2)</f>
        <v>0</v>
      </c>
      <c r="AG272" s="56" t="n">
        <f aca="false">ROUND(W271*(1+N(Debts!$D$12)/12),2)</f>
        <v>0</v>
      </c>
      <c r="AH272" s="56" t="n">
        <f aca="false">ROUND(X271*(1+N(Debts!$D$13)/12),2)</f>
        <v>0</v>
      </c>
      <c r="AI272" s="56" t="n">
        <f aca="false">ROUND(Y271*(1+N(Debts!$D$14)/12),2)</f>
        <v>0</v>
      </c>
      <c r="AJ272" s="56" t="n">
        <f aca="false">MIN(Z272,MAX(0,N(Debts!$E$5)))</f>
        <v>0</v>
      </c>
      <c r="AK272" s="56" t="n">
        <f aca="false">MIN(AA272,MAX(0,N(Debts!$E$6)))</f>
        <v>0</v>
      </c>
      <c r="AL272" s="56" t="n">
        <f aca="false">MIN(AB272,MAX(0,N(Debts!$E$7)))</f>
        <v>0</v>
      </c>
      <c r="AM272" s="56" t="n">
        <f aca="false">MIN(AC272,MAX(0,N(Debts!$E$8)))</f>
        <v>0</v>
      </c>
      <c r="AN272" s="56" t="n">
        <f aca="false">MIN(AD272,MAX(0,N(Debts!$E$9)))</f>
        <v>0</v>
      </c>
      <c r="AO272" s="56" t="n">
        <f aca="false">MIN(AE272,MAX(0,N(Debts!$E$10)))</f>
        <v>0</v>
      </c>
      <c r="AP272" s="56" t="n">
        <f aca="false">MIN(AF272,MAX(0,N(Debts!$E$11)))</f>
        <v>0</v>
      </c>
      <c r="AQ272" s="56" t="n">
        <f aca="false">MIN(AG272,MAX(0,N(Debts!$E$12)))</f>
        <v>0</v>
      </c>
      <c r="AR272" s="56" t="n">
        <f aca="false">MIN(AH272,MAX(0,N(Debts!$E$13)))</f>
        <v>0</v>
      </c>
      <c r="AS272" s="56" t="n">
        <f aca="false">MIN(AI272,MAX(0,N(Debts!$E$14)))</f>
        <v>0</v>
      </c>
    </row>
    <row r="273" customFormat="false" ht="15" hidden="false" customHeight="false" outlineLevel="0" collapsed="false">
      <c r="A273" s="53" t="n">
        <v>269</v>
      </c>
      <c r="B273" s="54" t="n">
        <f aca="false">EDATE('Start Here'!$B$8,268)</f>
        <v>54483</v>
      </c>
      <c r="C273" s="42" t="n">
        <f aca="false">SUM(F273:O273)</f>
        <v>0</v>
      </c>
      <c r="D273" s="42" t="n">
        <f aca="false">ROUND(SUM($Z273:$AI273)-SUM(P272:Y272),2)</f>
        <v>0</v>
      </c>
      <c r="E273" s="55" t="n">
        <f aca="false">SUM(P273:Y273)</f>
        <v>0</v>
      </c>
      <c r="F273" s="42" t="n">
        <f aca="false">AJ273+MIN(Z273-AJ273,MAX(0,'Start Here'!$B$10-SUM($AJ273:$AS273)-SUMPRODUCT(($Z$3:$AI$3&lt;Z$3)*($Z273:$AI273-$AJ273:$AS273))))</f>
        <v>0</v>
      </c>
      <c r="G273" s="42" t="n">
        <f aca="false">AK273+MIN(AA273-AK273,MAX(0,'Start Here'!$B$10-SUM($AJ273:$AS273)-SUMPRODUCT(($Z$3:$AI$3&lt;AA$3)*($Z273:$AI273-$AJ273:$AS273))))</f>
        <v>0</v>
      </c>
      <c r="H273" s="42" t="n">
        <f aca="false">AL273+MIN(AB273-AL273,MAX(0,'Start Here'!$B$10-SUM($AJ273:$AS273)-SUMPRODUCT(($Z$3:$AI$3&lt;AB$3)*($Z273:$AI273-$AJ273:$AS273))))</f>
        <v>0</v>
      </c>
      <c r="I273" s="42" t="n">
        <f aca="false">AM273+MIN(AC273-AM273,MAX(0,'Start Here'!$B$10-SUM($AJ273:$AS273)-SUMPRODUCT(($Z$3:$AI$3&lt;AC$3)*($Z273:$AI273-$AJ273:$AS273))))</f>
        <v>0</v>
      </c>
      <c r="J273" s="42" t="n">
        <f aca="false">AN273+MIN(AD273-AN273,MAX(0,'Start Here'!$B$10-SUM($AJ273:$AS273)-SUMPRODUCT(($Z$3:$AI$3&lt;AD$3)*($Z273:$AI273-$AJ273:$AS273))))</f>
        <v>0</v>
      </c>
      <c r="K273" s="42" t="n">
        <f aca="false">AO273+MIN(AE273-AO273,MAX(0,'Start Here'!$B$10-SUM($AJ273:$AS273)-SUMPRODUCT(($Z$3:$AI$3&lt;AE$3)*($Z273:$AI273-$AJ273:$AS273))))</f>
        <v>0</v>
      </c>
      <c r="L273" s="42" t="n">
        <f aca="false">AP273+MIN(AF273-AP273,MAX(0,'Start Here'!$B$10-SUM($AJ273:$AS273)-SUMPRODUCT(($Z$3:$AI$3&lt;AF$3)*($Z273:$AI273-$AJ273:$AS273))))</f>
        <v>0</v>
      </c>
      <c r="M273" s="42" t="n">
        <f aca="false">AQ273+MIN(AG273-AQ273,MAX(0,'Start Here'!$B$10-SUM($AJ273:$AS273)-SUMPRODUCT(($Z$3:$AI$3&lt;AG$3)*($Z273:$AI273-$AJ273:$AS273))))</f>
        <v>0</v>
      </c>
      <c r="N273" s="42" t="n">
        <f aca="false">AR273+MIN(AH273-AR273,MAX(0,'Start Here'!$B$10-SUM($AJ273:$AS273)-SUMPRODUCT(($Z$3:$AI$3&lt;AH$3)*($Z273:$AI273-$AJ273:$AS273))))</f>
        <v>0</v>
      </c>
      <c r="O273" s="42" t="n">
        <f aca="false">AS273+MIN(AI273-AS273,MAX(0,'Start Here'!$B$10-SUM($AJ273:$AS273)-SUMPRODUCT(($Z$3:$AI$3&lt;AI$3)*($Z273:$AI273-$AJ273:$AS273))))</f>
        <v>0</v>
      </c>
      <c r="P273" s="42" t="n">
        <f aca="false">ROUND(Z273-F273,2)</f>
        <v>0</v>
      </c>
      <c r="Q273" s="42" t="n">
        <f aca="false">ROUND(AA273-G273,2)</f>
        <v>0</v>
      </c>
      <c r="R273" s="42" t="n">
        <f aca="false">ROUND(AB273-H273,2)</f>
        <v>0</v>
      </c>
      <c r="S273" s="42" t="n">
        <f aca="false">ROUND(AC273-I273,2)</f>
        <v>0</v>
      </c>
      <c r="T273" s="42" t="n">
        <f aca="false">ROUND(AD273-J273,2)</f>
        <v>0</v>
      </c>
      <c r="U273" s="42" t="n">
        <f aca="false">ROUND(AE273-K273,2)</f>
        <v>0</v>
      </c>
      <c r="V273" s="42" t="n">
        <f aca="false">ROUND(AF273-L273,2)</f>
        <v>0</v>
      </c>
      <c r="W273" s="42" t="n">
        <f aca="false">ROUND(AG273-M273,2)</f>
        <v>0</v>
      </c>
      <c r="X273" s="42" t="n">
        <f aca="false">ROUND(AH273-N273,2)</f>
        <v>0</v>
      </c>
      <c r="Y273" s="42" t="n">
        <f aca="false">ROUND(AI273-O273,2)</f>
        <v>0</v>
      </c>
      <c r="Z273" s="56" t="n">
        <f aca="false">ROUND(P272*(1+N(Debts!$D$5)/12),2)</f>
        <v>0</v>
      </c>
      <c r="AA273" s="56" t="n">
        <f aca="false">ROUND(Q272*(1+N(Debts!$D$6)/12),2)</f>
        <v>0</v>
      </c>
      <c r="AB273" s="56" t="n">
        <f aca="false">ROUND(R272*(1+N(Debts!$D$7)/12),2)</f>
        <v>0</v>
      </c>
      <c r="AC273" s="56" t="n">
        <f aca="false">ROUND(S272*(1+N(Debts!$D$8)/12),2)</f>
        <v>0</v>
      </c>
      <c r="AD273" s="56" t="n">
        <f aca="false">ROUND(T272*(1+N(Debts!$D$9)/12),2)</f>
        <v>0</v>
      </c>
      <c r="AE273" s="56" t="n">
        <f aca="false">ROUND(U272*(1+N(Debts!$D$10)/12),2)</f>
        <v>0</v>
      </c>
      <c r="AF273" s="56" t="n">
        <f aca="false">ROUND(V272*(1+N(Debts!$D$11)/12),2)</f>
        <v>0</v>
      </c>
      <c r="AG273" s="56" t="n">
        <f aca="false">ROUND(W272*(1+N(Debts!$D$12)/12),2)</f>
        <v>0</v>
      </c>
      <c r="AH273" s="56" t="n">
        <f aca="false">ROUND(X272*(1+N(Debts!$D$13)/12),2)</f>
        <v>0</v>
      </c>
      <c r="AI273" s="56" t="n">
        <f aca="false">ROUND(Y272*(1+N(Debts!$D$14)/12),2)</f>
        <v>0</v>
      </c>
      <c r="AJ273" s="56" t="n">
        <f aca="false">MIN(Z273,MAX(0,N(Debts!$E$5)))</f>
        <v>0</v>
      </c>
      <c r="AK273" s="56" t="n">
        <f aca="false">MIN(AA273,MAX(0,N(Debts!$E$6)))</f>
        <v>0</v>
      </c>
      <c r="AL273" s="56" t="n">
        <f aca="false">MIN(AB273,MAX(0,N(Debts!$E$7)))</f>
        <v>0</v>
      </c>
      <c r="AM273" s="56" t="n">
        <f aca="false">MIN(AC273,MAX(0,N(Debts!$E$8)))</f>
        <v>0</v>
      </c>
      <c r="AN273" s="56" t="n">
        <f aca="false">MIN(AD273,MAX(0,N(Debts!$E$9)))</f>
        <v>0</v>
      </c>
      <c r="AO273" s="56" t="n">
        <f aca="false">MIN(AE273,MAX(0,N(Debts!$E$10)))</f>
        <v>0</v>
      </c>
      <c r="AP273" s="56" t="n">
        <f aca="false">MIN(AF273,MAX(0,N(Debts!$E$11)))</f>
        <v>0</v>
      </c>
      <c r="AQ273" s="56" t="n">
        <f aca="false">MIN(AG273,MAX(0,N(Debts!$E$12)))</f>
        <v>0</v>
      </c>
      <c r="AR273" s="56" t="n">
        <f aca="false">MIN(AH273,MAX(0,N(Debts!$E$13)))</f>
        <v>0</v>
      </c>
      <c r="AS273" s="56" t="n">
        <f aca="false">MIN(AI273,MAX(0,N(Debts!$E$14)))</f>
        <v>0</v>
      </c>
    </row>
    <row r="274" customFormat="false" ht="15" hidden="false" customHeight="false" outlineLevel="0" collapsed="false">
      <c r="A274" s="53" t="n">
        <v>270</v>
      </c>
      <c r="B274" s="54" t="n">
        <f aca="false">EDATE('Start Here'!$B$8,269)</f>
        <v>54514</v>
      </c>
      <c r="C274" s="42" t="n">
        <f aca="false">SUM(F274:O274)</f>
        <v>0</v>
      </c>
      <c r="D274" s="42" t="n">
        <f aca="false">ROUND(SUM($Z274:$AI274)-SUM(P273:Y273),2)</f>
        <v>0</v>
      </c>
      <c r="E274" s="55" t="n">
        <f aca="false">SUM(P274:Y274)</f>
        <v>0</v>
      </c>
      <c r="F274" s="42" t="n">
        <f aca="false">AJ274+MIN(Z274-AJ274,MAX(0,'Start Here'!$B$10-SUM($AJ274:$AS274)-SUMPRODUCT(($Z$3:$AI$3&lt;Z$3)*($Z274:$AI274-$AJ274:$AS274))))</f>
        <v>0</v>
      </c>
      <c r="G274" s="42" t="n">
        <f aca="false">AK274+MIN(AA274-AK274,MAX(0,'Start Here'!$B$10-SUM($AJ274:$AS274)-SUMPRODUCT(($Z$3:$AI$3&lt;AA$3)*($Z274:$AI274-$AJ274:$AS274))))</f>
        <v>0</v>
      </c>
      <c r="H274" s="42" t="n">
        <f aca="false">AL274+MIN(AB274-AL274,MAX(0,'Start Here'!$B$10-SUM($AJ274:$AS274)-SUMPRODUCT(($Z$3:$AI$3&lt;AB$3)*($Z274:$AI274-$AJ274:$AS274))))</f>
        <v>0</v>
      </c>
      <c r="I274" s="42" t="n">
        <f aca="false">AM274+MIN(AC274-AM274,MAX(0,'Start Here'!$B$10-SUM($AJ274:$AS274)-SUMPRODUCT(($Z$3:$AI$3&lt;AC$3)*($Z274:$AI274-$AJ274:$AS274))))</f>
        <v>0</v>
      </c>
      <c r="J274" s="42" t="n">
        <f aca="false">AN274+MIN(AD274-AN274,MAX(0,'Start Here'!$B$10-SUM($AJ274:$AS274)-SUMPRODUCT(($Z$3:$AI$3&lt;AD$3)*($Z274:$AI274-$AJ274:$AS274))))</f>
        <v>0</v>
      </c>
      <c r="K274" s="42" t="n">
        <f aca="false">AO274+MIN(AE274-AO274,MAX(0,'Start Here'!$B$10-SUM($AJ274:$AS274)-SUMPRODUCT(($Z$3:$AI$3&lt;AE$3)*($Z274:$AI274-$AJ274:$AS274))))</f>
        <v>0</v>
      </c>
      <c r="L274" s="42" t="n">
        <f aca="false">AP274+MIN(AF274-AP274,MAX(0,'Start Here'!$B$10-SUM($AJ274:$AS274)-SUMPRODUCT(($Z$3:$AI$3&lt;AF$3)*($Z274:$AI274-$AJ274:$AS274))))</f>
        <v>0</v>
      </c>
      <c r="M274" s="42" t="n">
        <f aca="false">AQ274+MIN(AG274-AQ274,MAX(0,'Start Here'!$B$10-SUM($AJ274:$AS274)-SUMPRODUCT(($Z$3:$AI$3&lt;AG$3)*($Z274:$AI274-$AJ274:$AS274))))</f>
        <v>0</v>
      </c>
      <c r="N274" s="42" t="n">
        <f aca="false">AR274+MIN(AH274-AR274,MAX(0,'Start Here'!$B$10-SUM($AJ274:$AS274)-SUMPRODUCT(($Z$3:$AI$3&lt;AH$3)*($Z274:$AI274-$AJ274:$AS274))))</f>
        <v>0</v>
      </c>
      <c r="O274" s="42" t="n">
        <f aca="false">AS274+MIN(AI274-AS274,MAX(0,'Start Here'!$B$10-SUM($AJ274:$AS274)-SUMPRODUCT(($Z$3:$AI$3&lt;AI$3)*($Z274:$AI274-$AJ274:$AS274))))</f>
        <v>0</v>
      </c>
      <c r="P274" s="42" t="n">
        <f aca="false">ROUND(Z274-F274,2)</f>
        <v>0</v>
      </c>
      <c r="Q274" s="42" t="n">
        <f aca="false">ROUND(AA274-G274,2)</f>
        <v>0</v>
      </c>
      <c r="R274" s="42" t="n">
        <f aca="false">ROUND(AB274-H274,2)</f>
        <v>0</v>
      </c>
      <c r="S274" s="42" t="n">
        <f aca="false">ROUND(AC274-I274,2)</f>
        <v>0</v>
      </c>
      <c r="T274" s="42" t="n">
        <f aca="false">ROUND(AD274-J274,2)</f>
        <v>0</v>
      </c>
      <c r="U274" s="42" t="n">
        <f aca="false">ROUND(AE274-K274,2)</f>
        <v>0</v>
      </c>
      <c r="V274" s="42" t="n">
        <f aca="false">ROUND(AF274-L274,2)</f>
        <v>0</v>
      </c>
      <c r="W274" s="42" t="n">
        <f aca="false">ROUND(AG274-M274,2)</f>
        <v>0</v>
      </c>
      <c r="X274" s="42" t="n">
        <f aca="false">ROUND(AH274-N274,2)</f>
        <v>0</v>
      </c>
      <c r="Y274" s="42" t="n">
        <f aca="false">ROUND(AI274-O274,2)</f>
        <v>0</v>
      </c>
      <c r="Z274" s="56" t="n">
        <f aca="false">ROUND(P273*(1+N(Debts!$D$5)/12),2)</f>
        <v>0</v>
      </c>
      <c r="AA274" s="56" t="n">
        <f aca="false">ROUND(Q273*(1+N(Debts!$D$6)/12),2)</f>
        <v>0</v>
      </c>
      <c r="AB274" s="56" t="n">
        <f aca="false">ROUND(R273*(1+N(Debts!$D$7)/12),2)</f>
        <v>0</v>
      </c>
      <c r="AC274" s="56" t="n">
        <f aca="false">ROUND(S273*(1+N(Debts!$D$8)/12),2)</f>
        <v>0</v>
      </c>
      <c r="AD274" s="56" t="n">
        <f aca="false">ROUND(T273*(1+N(Debts!$D$9)/12),2)</f>
        <v>0</v>
      </c>
      <c r="AE274" s="56" t="n">
        <f aca="false">ROUND(U273*(1+N(Debts!$D$10)/12),2)</f>
        <v>0</v>
      </c>
      <c r="AF274" s="56" t="n">
        <f aca="false">ROUND(V273*(1+N(Debts!$D$11)/12),2)</f>
        <v>0</v>
      </c>
      <c r="AG274" s="56" t="n">
        <f aca="false">ROUND(W273*(1+N(Debts!$D$12)/12),2)</f>
        <v>0</v>
      </c>
      <c r="AH274" s="56" t="n">
        <f aca="false">ROUND(X273*(1+N(Debts!$D$13)/12),2)</f>
        <v>0</v>
      </c>
      <c r="AI274" s="56" t="n">
        <f aca="false">ROUND(Y273*(1+N(Debts!$D$14)/12),2)</f>
        <v>0</v>
      </c>
      <c r="AJ274" s="56" t="n">
        <f aca="false">MIN(Z274,MAX(0,N(Debts!$E$5)))</f>
        <v>0</v>
      </c>
      <c r="AK274" s="56" t="n">
        <f aca="false">MIN(AA274,MAX(0,N(Debts!$E$6)))</f>
        <v>0</v>
      </c>
      <c r="AL274" s="56" t="n">
        <f aca="false">MIN(AB274,MAX(0,N(Debts!$E$7)))</f>
        <v>0</v>
      </c>
      <c r="AM274" s="56" t="n">
        <f aca="false">MIN(AC274,MAX(0,N(Debts!$E$8)))</f>
        <v>0</v>
      </c>
      <c r="AN274" s="56" t="n">
        <f aca="false">MIN(AD274,MAX(0,N(Debts!$E$9)))</f>
        <v>0</v>
      </c>
      <c r="AO274" s="56" t="n">
        <f aca="false">MIN(AE274,MAX(0,N(Debts!$E$10)))</f>
        <v>0</v>
      </c>
      <c r="AP274" s="56" t="n">
        <f aca="false">MIN(AF274,MAX(0,N(Debts!$E$11)))</f>
        <v>0</v>
      </c>
      <c r="AQ274" s="56" t="n">
        <f aca="false">MIN(AG274,MAX(0,N(Debts!$E$12)))</f>
        <v>0</v>
      </c>
      <c r="AR274" s="56" t="n">
        <f aca="false">MIN(AH274,MAX(0,N(Debts!$E$13)))</f>
        <v>0</v>
      </c>
      <c r="AS274" s="56" t="n">
        <f aca="false">MIN(AI274,MAX(0,N(Debts!$E$14)))</f>
        <v>0</v>
      </c>
    </row>
    <row r="275" customFormat="false" ht="15" hidden="false" customHeight="false" outlineLevel="0" collapsed="false">
      <c r="A275" s="53" t="n">
        <v>271</v>
      </c>
      <c r="B275" s="54" t="n">
        <f aca="false">EDATE('Start Here'!$B$8,270)</f>
        <v>54544</v>
      </c>
      <c r="C275" s="42" t="n">
        <f aca="false">SUM(F275:O275)</f>
        <v>0</v>
      </c>
      <c r="D275" s="42" t="n">
        <f aca="false">ROUND(SUM($Z275:$AI275)-SUM(P274:Y274),2)</f>
        <v>0</v>
      </c>
      <c r="E275" s="55" t="n">
        <f aca="false">SUM(P275:Y275)</f>
        <v>0</v>
      </c>
      <c r="F275" s="42" t="n">
        <f aca="false">AJ275+MIN(Z275-AJ275,MAX(0,'Start Here'!$B$10-SUM($AJ275:$AS275)-SUMPRODUCT(($Z$3:$AI$3&lt;Z$3)*($Z275:$AI275-$AJ275:$AS275))))</f>
        <v>0</v>
      </c>
      <c r="G275" s="42" t="n">
        <f aca="false">AK275+MIN(AA275-AK275,MAX(0,'Start Here'!$B$10-SUM($AJ275:$AS275)-SUMPRODUCT(($Z$3:$AI$3&lt;AA$3)*($Z275:$AI275-$AJ275:$AS275))))</f>
        <v>0</v>
      </c>
      <c r="H275" s="42" t="n">
        <f aca="false">AL275+MIN(AB275-AL275,MAX(0,'Start Here'!$B$10-SUM($AJ275:$AS275)-SUMPRODUCT(($Z$3:$AI$3&lt;AB$3)*($Z275:$AI275-$AJ275:$AS275))))</f>
        <v>0</v>
      </c>
      <c r="I275" s="42" t="n">
        <f aca="false">AM275+MIN(AC275-AM275,MAX(0,'Start Here'!$B$10-SUM($AJ275:$AS275)-SUMPRODUCT(($Z$3:$AI$3&lt;AC$3)*($Z275:$AI275-$AJ275:$AS275))))</f>
        <v>0</v>
      </c>
      <c r="J275" s="42" t="n">
        <f aca="false">AN275+MIN(AD275-AN275,MAX(0,'Start Here'!$B$10-SUM($AJ275:$AS275)-SUMPRODUCT(($Z$3:$AI$3&lt;AD$3)*($Z275:$AI275-$AJ275:$AS275))))</f>
        <v>0</v>
      </c>
      <c r="K275" s="42" t="n">
        <f aca="false">AO275+MIN(AE275-AO275,MAX(0,'Start Here'!$B$10-SUM($AJ275:$AS275)-SUMPRODUCT(($Z$3:$AI$3&lt;AE$3)*($Z275:$AI275-$AJ275:$AS275))))</f>
        <v>0</v>
      </c>
      <c r="L275" s="42" t="n">
        <f aca="false">AP275+MIN(AF275-AP275,MAX(0,'Start Here'!$B$10-SUM($AJ275:$AS275)-SUMPRODUCT(($Z$3:$AI$3&lt;AF$3)*($Z275:$AI275-$AJ275:$AS275))))</f>
        <v>0</v>
      </c>
      <c r="M275" s="42" t="n">
        <f aca="false">AQ275+MIN(AG275-AQ275,MAX(0,'Start Here'!$B$10-SUM($AJ275:$AS275)-SUMPRODUCT(($Z$3:$AI$3&lt;AG$3)*($Z275:$AI275-$AJ275:$AS275))))</f>
        <v>0</v>
      </c>
      <c r="N275" s="42" t="n">
        <f aca="false">AR275+MIN(AH275-AR275,MAX(0,'Start Here'!$B$10-SUM($AJ275:$AS275)-SUMPRODUCT(($Z$3:$AI$3&lt;AH$3)*($Z275:$AI275-$AJ275:$AS275))))</f>
        <v>0</v>
      </c>
      <c r="O275" s="42" t="n">
        <f aca="false">AS275+MIN(AI275-AS275,MAX(0,'Start Here'!$B$10-SUM($AJ275:$AS275)-SUMPRODUCT(($Z$3:$AI$3&lt;AI$3)*($Z275:$AI275-$AJ275:$AS275))))</f>
        <v>0</v>
      </c>
      <c r="P275" s="42" t="n">
        <f aca="false">ROUND(Z275-F275,2)</f>
        <v>0</v>
      </c>
      <c r="Q275" s="42" t="n">
        <f aca="false">ROUND(AA275-G275,2)</f>
        <v>0</v>
      </c>
      <c r="R275" s="42" t="n">
        <f aca="false">ROUND(AB275-H275,2)</f>
        <v>0</v>
      </c>
      <c r="S275" s="42" t="n">
        <f aca="false">ROUND(AC275-I275,2)</f>
        <v>0</v>
      </c>
      <c r="T275" s="42" t="n">
        <f aca="false">ROUND(AD275-J275,2)</f>
        <v>0</v>
      </c>
      <c r="U275" s="42" t="n">
        <f aca="false">ROUND(AE275-K275,2)</f>
        <v>0</v>
      </c>
      <c r="V275" s="42" t="n">
        <f aca="false">ROUND(AF275-L275,2)</f>
        <v>0</v>
      </c>
      <c r="W275" s="42" t="n">
        <f aca="false">ROUND(AG275-M275,2)</f>
        <v>0</v>
      </c>
      <c r="X275" s="42" t="n">
        <f aca="false">ROUND(AH275-N275,2)</f>
        <v>0</v>
      </c>
      <c r="Y275" s="42" t="n">
        <f aca="false">ROUND(AI275-O275,2)</f>
        <v>0</v>
      </c>
      <c r="Z275" s="56" t="n">
        <f aca="false">ROUND(P274*(1+N(Debts!$D$5)/12),2)</f>
        <v>0</v>
      </c>
      <c r="AA275" s="56" t="n">
        <f aca="false">ROUND(Q274*(1+N(Debts!$D$6)/12),2)</f>
        <v>0</v>
      </c>
      <c r="AB275" s="56" t="n">
        <f aca="false">ROUND(R274*(1+N(Debts!$D$7)/12),2)</f>
        <v>0</v>
      </c>
      <c r="AC275" s="56" t="n">
        <f aca="false">ROUND(S274*(1+N(Debts!$D$8)/12),2)</f>
        <v>0</v>
      </c>
      <c r="AD275" s="56" t="n">
        <f aca="false">ROUND(T274*(1+N(Debts!$D$9)/12),2)</f>
        <v>0</v>
      </c>
      <c r="AE275" s="56" t="n">
        <f aca="false">ROUND(U274*(1+N(Debts!$D$10)/12),2)</f>
        <v>0</v>
      </c>
      <c r="AF275" s="56" t="n">
        <f aca="false">ROUND(V274*(1+N(Debts!$D$11)/12),2)</f>
        <v>0</v>
      </c>
      <c r="AG275" s="56" t="n">
        <f aca="false">ROUND(W274*(1+N(Debts!$D$12)/12),2)</f>
        <v>0</v>
      </c>
      <c r="AH275" s="56" t="n">
        <f aca="false">ROUND(X274*(1+N(Debts!$D$13)/12),2)</f>
        <v>0</v>
      </c>
      <c r="AI275" s="56" t="n">
        <f aca="false">ROUND(Y274*(1+N(Debts!$D$14)/12),2)</f>
        <v>0</v>
      </c>
      <c r="AJ275" s="56" t="n">
        <f aca="false">MIN(Z275,MAX(0,N(Debts!$E$5)))</f>
        <v>0</v>
      </c>
      <c r="AK275" s="56" t="n">
        <f aca="false">MIN(AA275,MAX(0,N(Debts!$E$6)))</f>
        <v>0</v>
      </c>
      <c r="AL275" s="56" t="n">
        <f aca="false">MIN(AB275,MAX(0,N(Debts!$E$7)))</f>
        <v>0</v>
      </c>
      <c r="AM275" s="56" t="n">
        <f aca="false">MIN(AC275,MAX(0,N(Debts!$E$8)))</f>
        <v>0</v>
      </c>
      <c r="AN275" s="56" t="n">
        <f aca="false">MIN(AD275,MAX(0,N(Debts!$E$9)))</f>
        <v>0</v>
      </c>
      <c r="AO275" s="56" t="n">
        <f aca="false">MIN(AE275,MAX(0,N(Debts!$E$10)))</f>
        <v>0</v>
      </c>
      <c r="AP275" s="56" t="n">
        <f aca="false">MIN(AF275,MAX(0,N(Debts!$E$11)))</f>
        <v>0</v>
      </c>
      <c r="AQ275" s="56" t="n">
        <f aca="false">MIN(AG275,MAX(0,N(Debts!$E$12)))</f>
        <v>0</v>
      </c>
      <c r="AR275" s="56" t="n">
        <f aca="false">MIN(AH275,MAX(0,N(Debts!$E$13)))</f>
        <v>0</v>
      </c>
      <c r="AS275" s="56" t="n">
        <f aca="false">MIN(AI275,MAX(0,N(Debts!$E$14)))</f>
        <v>0</v>
      </c>
    </row>
    <row r="276" customFormat="false" ht="15" hidden="false" customHeight="false" outlineLevel="0" collapsed="false">
      <c r="A276" s="53" t="n">
        <v>272</v>
      </c>
      <c r="B276" s="54" t="n">
        <f aca="false">EDATE('Start Here'!$B$8,271)</f>
        <v>54575</v>
      </c>
      <c r="C276" s="42" t="n">
        <f aca="false">SUM(F276:O276)</f>
        <v>0</v>
      </c>
      <c r="D276" s="42" t="n">
        <f aca="false">ROUND(SUM($Z276:$AI276)-SUM(P275:Y275),2)</f>
        <v>0</v>
      </c>
      <c r="E276" s="55" t="n">
        <f aca="false">SUM(P276:Y276)</f>
        <v>0</v>
      </c>
      <c r="F276" s="42" t="n">
        <f aca="false">AJ276+MIN(Z276-AJ276,MAX(0,'Start Here'!$B$10-SUM($AJ276:$AS276)-SUMPRODUCT(($Z$3:$AI$3&lt;Z$3)*($Z276:$AI276-$AJ276:$AS276))))</f>
        <v>0</v>
      </c>
      <c r="G276" s="42" t="n">
        <f aca="false">AK276+MIN(AA276-AK276,MAX(0,'Start Here'!$B$10-SUM($AJ276:$AS276)-SUMPRODUCT(($Z$3:$AI$3&lt;AA$3)*($Z276:$AI276-$AJ276:$AS276))))</f>
        <v>0</v>
      </c>
      <c r="H276" s="42" t="n">
        <f aca="false">AL276+MIN(AB276-AL276,MAX(0,'Start Here'!$B$10-SUM($AJ276:$AS276)-SUMPRODUCT(($Z$3:$AI$3&lt;AB$3)*($Z276:$AI276-$AJ276:$AS276))))</f>
        <v>0</v>
      </c>
      <c r="I276" s="42" t="n">
        <f aca="false">AM276+MIN(AC276-AM276,MAX(0,'Start Here'!$B$10-SUM($AJ276:$AS276)-SUMPRODUCT(($Z$3:$AI$3&lt;AC$3)*($Z276:$AI276-$AJ276:$AS276))))</f>
        <v>0</v>
      </c>
      <c r="J276" s="42" t="n">
        <f aca="false">AN276+MIN(AD276-AN276,MAX(0,'Start Here'!$B$10-SUM($AJ276:$AS276)-SUMPRODUCT(($Z$3:$AI$3&lt;AD$3)*($Z276:$AI276-$AJ276:$AS276))))</f>
        <v>0</v>
      </c>
      <c r="K276" s="42" t="n">
        <f aca="false">AO276+MIN(AE276-AO276,MAX(0,'Start Here'!$B$10-SUM($AJ276:$AS276)-SUMPRODUCT(($Z$3:$AI$3&lt;AE$3)*($Z276:$AI276-$AJ276:$AS276))))</f>
        <v>0</v>
      </c>
      <c r="L276" s="42" t="n">
        <f aca="false">AP276+MIN(AF276-AP276,MAX(0,'Start Here'!$B$10-SUM($AJ276:$AS276)-SUMPRODUCT(($Z$3:$AI$3&lt;AF$3)*($Z276:$AI276-$AJ276:$AS276))))</f>
        <v>0</v>
      </c>
      <c r="M276" s="42" t="n">
        <f aca="false">AQ276+MIN(AG276-AQ276,MAX(0,'Start Here'!$B$10-SUM($AJ276:$AS276)-SUMPRODUCT(($Z$3:$AI$3&lt;AG$3)*($Z276:$AI276-$AJ276:$AS276))))</f>
        <v>0</v>
      </c>
      <c r="N276" s="42" t="n">
        <f aca="false">AR276+MIN(AH276-AR276,MAX(0,'Start Here'!$B$10-SUM($AJ276:$AS276)-SUMPRODUCT(($Z$3:$AI$3&lt;AH$3)*($Z276:$AI276-$AJ276:$AS276))))</f>
        <v>0</v>
      </c>
      <c r="O276" s="42" t="n">
        <f aca="false">AS276+MIN(AI276-AS276,MAX(0,'Start Here'!$B$10-SUM($AJ276:$AS276)-SUMPRODUCT(($Z$3:$AI$3&lt;AI$3)*($Z276:$AI276-$AJ276:$AS276))))</f>
        <v>0</v>
      </c>
      <c r="P276" s="42" t="n">
        <f aca="false">ROUND(Z276-F276,2)</f>
        <v>0</v>
      </c>
      <c r="Q276" s="42" t="n">
        <f aca="false">ROUND(AA276-G276,2)</f>
        <v>0</v>
      </c>
      <c r="R276" s="42" t="n">
        <f aca="false">ROUND(AB276-H276,2)</f>
        <v>0</v>
      </c>
      <c r="S276" s="42" t="n">
        <f aca="false">ROUND(AC276-I276,2)</f>
        <v>0</v>
      </c>
      <c r="T276" s="42" t="n">
        <f aca="false">ROUND(AD276-J276,2)</f>
        <v>0</v>
      </c>
      <c r="U276" s="42" t="n">
        <f aca="false">ROUND(AE276-K276,2)</f>
        <v>0</v>
      </c>
      <c r="V276" s="42" t="n">
        <f aca="false">ROUND(AF276-L276,2)</f>
        <v>0</v>
      </c>
      <c r="W276" s="42" t="n">
        <f aca="false">ROUND(AG276-M276,2)</f>
        <v>0</v>
      </c>
      <c r="X276" s="42" t="n">
        <f aca="false">ROUND(AH276-N276,2)</f>
        <v>0</v>
      </c>
      <c r="Y276" s="42" t="n">
        <f aca="false">ROUND(AI276-O276,2)</f>
        <v>0</v>
      </c>
      <c r="Z276" s="56" t="n">
        <f aca="false">ROUND(P275*(1+N(Debts!$D$5)/12),2)</f>
        <v>0</v>
      </c>
      <c r="AA276" s="56" t="n">
        <f aca="false">ROUND(Q275*(1+N(Debts!$D$6)/12),2)</f>
        <v>0</v>
      </c>
      <c r="AB276" s="56" t="n">
        <f aca="false">ROUND(R275*(1+N(Debts!$D$7)/12),2)</f>
        <v>0</v>
      </c>
      <c r="AC276" s="56" t="n">
        <f aca="false">ROUND(S275*(1+N(Debts!$D$8)/12),2)</f>
        <v>0</v>
      </c>
      <c r="AD276" s="56" t="n">
        <f aca="false">ROUND(T275*(1+N(Debts!$D$9)/12),2)</f>
        <v>0</v>
      </c>
      <c r="AE276" s="56" t="n">
        <f aca="false">ROUND(U275*(1+N(Debts!$D$10)/12),2)</f>
        <v>0</v>
      </c>
      <c r="AF276" s="56" t="n">
        <f aca="false">ROUND(V275*(1+N(Debts!$D$11)/12),2)</f>
        <v>0</v>
      </c>
      <c r="AG276" s="56" t="n">
        <f aca="false">ROUND(W275*(1+N(Debts!$D$12)/12),2)</f>
        <v>0</v>
      </c>
      <c r="AH276" s="56" t="n">
        <f aca="false">ROUND(X275*(1+N(Debts!$D$13)/12),2)</f>
        <v>0</v>
      </c>
      <c r="AI276" s="56" t="n">
        <f aca="false">ROUND(Y275*(1+N(Debts!$D$14)/12),2)</f>
        <v>0</v>
      </c>
      <c r="AJ276" s="56" t="n">
        <f aca="false">MIN(Z276,MAX(0,N(Debts!$E$5)))</f>
        <v>0</v>
      </c>
      <c r="AK276" s="56" t="n">
        <f aca="false">MIN(AA276,MAX(0,N(Debts!$E$6)))</f>
        <v>0</v>
      </c>
      <c r="AL276" s="56" t="n">
        <f aca="false">MIN(AB276,MAX(0,N(Debts!$E$7)))</f>
        <v>0</v>
      </c>
      <c r="AM276" s="56" t="n">
        <f aca="false">MIN(AC276,MAX(0,N(Debts!$E$8)))</f>
        <v>0</v>
      </c>
      <c r="AN276" s="56" t="n">
        <f aca="false">MIN(AD276,MAX(0,N(Debts!$E$9)))</f>
        <v>0</v>
      </c>
      <c r="AO276" s="56" t="n">
        <f aca="false">MIN(AE276,MAX(0,N(Debts!$E$10)))</f>
        <v>0</v>
      </c>
      <c r="AP276" s="56" t="n">
        <f aca="false">MIN(AF276,MAX(0,N(Debts!$E$11)))</f>
        <v>0</v>
      </c>
      <c r="AQ276" s="56" t="n">
        <f aca="false">MIN(AG276,MAX(0,N(Debts!$E$12)))</f>
        <v>0</v>
      </c>
      <c r="AR276" s="56" t="n">
        <f aca="false">MIN(AH276,MAX(0,N(Debts!$E$13)))</f>
        <v>0</v>
      </c>
      <c r="AS276" s="56" t="n">
        <f aca="false">MIN(AI276,MAX(0,N(Debts!$E$14)))</f>
        <v>0</v>
      </c>
    </row>
    <row r="277" customFormat="false" ht="15" hidden="false" customHeight="false" outlineLevel="0" collapsed="false">
      <c r="A277" s="53" t="n">
        <v>273</v>
      </c>
      <c r="B277" s="54" t="n">
        <f aca="false">EDATE('Start Here'!$B$8,272)</f>
        <v>54605</v>
      </c>
      <c r="C277" s="42" t="n">
        <f aca="false">SUM(F277:O277)</f>
        <v>0</v>
      </c>
      <c r="D277" s="42" t="n">
        <f aca="false">ROUND(SUM($Z277:$AI277)-SUM(P276:Y276),2)</f>
        <v>0</v>
      </c>
      <c r="E277" s="55" t="n">
        <f aca="false">SUM(P277:Y277)</f>
        <v>0</v>
      </c>
      <c r="F277" s="42" t="n">
        <f aca="false">AJ277+MIN(Z277-AJ277,MAX(0,'Start Here'!$B$10-SUM($AJ277:$AS277)-SUMPRODUCT(($Z$3:$AI$3&lt;Z$3)*($Z277:$AI277-$AJ277:$AS277))))</f>
        <v>0</v>
      </c>
      <c r="G277" s="42" t="n">
        <f aca="false">AK277+MIN(AA277-AK277,MAX(0,'Start Here'!$B$10-SUM($AJ277:$AS277)-SUMPRODUCT(($Z$3:$AI$3&lt;AA$3)*($Z277:$AI277-$AJ277:$AS277))))</f>
        <v>0</v>
      </c>
      <c r="H277" s="42" t="n">
        <f aca="false">AL277+MIN(AB277-AL277,MAX(0,'Start Here'!$B$10-SUM($AJ277:$AS277)-SUMPRODUCT(($Z$3:$AI$3&lt;AB$3)*($Z277:$AI277-$AJ277:$AS277))))</f>
        <v>0</v>
      </c>
      <c r="I277" s="42" t="n">
        <f aca="false">AM277+MIN(AC277-AM277,MAX(0,'Start Here'!$B$10-SUM($AJ277:$AS277)-SUMPRODUCT(($Z$3:$AI$3&lt;AC$3)*($Z277:$AI277-$AJ277:$AS277))))</f>
        <v>0</v>
      </c>
      <c r="J277" s="42" t="n">
        <f aca="false">AN277+MIN(AD277-AN277,MAX(0,'Start Here'!$B$10-SUM($AJ277:$AS277)-SUMPRODUCT(($Z$3:$AI$3&lt;AD$3)*($Z277:$AI277-$AJ277:$AS277))))</f>
        <v>0</v>
      </c>
      <c r="K277" s="42" t="n">
        <f aca="false">AO277+MIN(AE277-AO277,MAX(0,'Start Here'!$B$10-SUM($AJ277:$AS277)-SUMPRODUCT(($Z$3:$AI$3&lt;AE$3)*($Z277:$AI277-$AJ277:$AS277))))</f>
        <v>0</v>
      </c>
      <c r="L277" s="42" t="n">
        <f aca="false">AP277+MIN(AF277-AP277,MAX(0,'Start Here'!$B$10-SUM($AJ277:$AS277)-SUMPRODUCT(($Z$3:$AI$3&lt;AF$3)*($Z277:$AI277-$AJ277:$AS277))))</f>
        <v>0</v>
      </c>
      <c r="M277" s="42" t="n">
        <f aca="false">AQ277+MIN(AG277-AQ277,MAX(0,'Start Here'!$B$10-SUM($AJ277:$AS277)-SUMPRODUCT(($Z$3:$AI$3&lt;AG$3)*($Z277:$AI277-$AJ277:$AS277))))</f>
        <v>0</v>
      </c>
      <c r="N277" s="42" t="n">
        <f aca="false">AR277+MIN(AH277-AR277,MAX(0,'Start Here'!$B$10-SUM($AJ277:$AS277)-SUMPRODUCT(($Z$3:$AI$3&lt;AH$3)*($Z277:$AI277-$AJ277:$AS277))))</f>
        <v>0</v>
      </c>
      <c r="O277" s="42" t="n">
        <f aca="false">AS277+MIN(AI277-AS277,MAX(0,'Start Here'!$B$10-SUM($AJ277:$AS277)-SUMPRODUCT(($Z$3:$AI$3&lt;AI$3)*($Z277:$AI277-$AJ277:$AS277))))</f>
        <v>0</v>
      </c>
      <c r="P277" s="42" t="n">
        <f aca="false">ROUND(Z277-F277,2)</f>
        <v>0</v>
      </c>
      <c r="Q277" s="42" t="n">
        <f aca="false">ROUND(AA277-G277,2)</f>
        <v>0</v>
      </c>
      <c r="R277" s="42" t="n">
        <f aca="false">ROUND(AB277-H277,2)</f>
        <v>0</v>
      </c>
      <c r="S277" s="42" t="n">
        <f aca="false">ROUND(AC277-I277,2)</f>
        <v>0</v>
      </c>
      <c r="T277" s="42" t="n">
        <f aca="false">ROUND(AD277-J277,2)</f>
        <v>0</v>
      </c>
      <c r="U277" s="42" t="n">
        <f aca="false">ROUND(AE277-K277,2)</f>
        <v>0</v>
      </c>
      <c r="V277" s="42" t="n">
        <f aca="false">ROUND(AF277-L277,2)</f>
        <v>0</v>
      </c>
      <c r="W277" s="42" t="n">
        <f aca="false">ROUND(AG277-M277,2)</f>
        <v>0</v>
      </c>
      <c r="X277" s="42" t="n">
        <f aca="false">ROUND(AH277-N277,2)</f>
        <v>0</v>
      </c>
      <c r="Y277" s="42" t="n">
        <f aca="false">ROUND(AI277-O277,2)</f>
        <v>0</v>
      </c>
      <c r="Z277" s="56" t="n">
        <f aca="false">ROUND(P276*(1+N(Debts!$D$5)/12),2)</f>
        <v>0</v>
      </c>
      <c r="AA277" s="56" t="n">
        <f aca="false">ROUND(Q276*(1+N(Debts!$D$6)/12),2)</f>
        <v>0</v>
      </c>
      <c r="AB277" s="56" t="n">
        <f aca="false">ROUND(R276*(1+N(Debts!$D$7)/12),2)</f>
        <v>0</v>
      </c>
      <c r="AC277" s="56" t="n">
        <f aca="false">ROUND(S276*(1+N(Debts!$D$8)/12),2)</f>
        <v>0</v>
      </c>
      <c r="AD277" s="56" t="n">
        <f aca="false">ROUND(T276*(1+N(Debts!$D$9)/12),2)</f>
        <v>0</v>
      </c>
      <c r="AE277" s="56" t="n">
        <f aca="false">ROUND(U276*(1+N(Debts!$D$10)/12),2)</f>
        <v>0</v>
      </c>
      <c r="AF277" s="56" t="n">
        <f aca="false">ROUND(V276*(1+N(Debts!$D$11)/12),2)</f>
        <v>0</v>
      </c>
      <c r="AG277" s="56" t="n">
        <f aca="false">ROUND(W276*(1+N(Debts!$D$12)/12),2)</f>
        <v>0</v>
      </c>
      <c r="AH277" s="56" t="n">
        <f aca="false">ROUND(X276*(1+N(Debts!$D$13)/12),2)</f>
        <v>0</v>
      </c>
      <c r="AI277" s="56" t="n">
        <f aca="false">ROUND(Y276*(1+N(Debts!$D$14)/12),2)</f>
        <v>0</v>
      </c>
      <c r="AJ277" s="56" t="n">
        <f aca="false">MIN(Z277,MAX(0,N(Debts!$E$5)))</f>
        <v>0</v>
      </c>
      <c r="AK277" s="56" t="n">
        <f aca="false">MIN(AA277,MAX(0,N(Debts!$E$6)))</f>
        <v>0</v>
      </c>
      <c r="AL277" s="56" t="n">
        <f aca="false">MIN(AB277,MAX(0,N(Debts!$E$7)))</f>
        <v>0</v>
      </c>
      <c r="AM277" s="56" t="n">
        <f aca="false">MIN(AC277,MAX(0,N(Debts!$E$8)))</f>
        <v>0</v>
      </c>
      <c r="AN277" s="56" t="n">
        <f aca="false">MIN(AD277,MAX(0,N(Debts!$E$9)))</f>
        <v>0</v>
      </c>
      <c r="AO277" s="56" t="n">
        <f aca="false">MIN(AE277,MAX(0,N(Debts!$E$10)))</f>
        <v>0</v>
      </c>
      <c r="AP277" s="56" t="n">
        <f aca="false">MIN(AF277,MAX(0,N(Debts!$E$11)))</f>
        <v>0</v>
      </c>
      <c r="AQ277" s="56" t="n">
        <f aca="false">MIN(AG277,MAX(0,N(Debts!$E$12)))</f>
        <v>0</v>
      </c>
      <c r="AR277" s="56" t="n">
        <f aca="false">MIN(AH277,MAX(0,N(Debts!$E$13)))</f>
        <v>0</v>
      </c>
      <c r="AS277" s="56" t="n">
        <f aca="false">MIN(AI277,MAX(0,N(Debts!$E$14)))</f>
        <v>0</v>
      </c>
    </row>
    <row r="278" customFormat="false" ht="15" hidden="false" customHeight="false" outlineLevel="0" collapsed="false">
      <c r="A278" s="53" t="n">
        <v>274</v>
      </c>
      <c r="B278" s="54" t="n">
        <f aca="false">EDATE('Start Here'!$B$8,273)</f>
        <v>54636</v>
      </c>
      <c r="C278" s="42" t="n">
        <f aca="false">SUM(F278:O278)</f>
        <v>0</v>
      </c>
      <c r="D278" s="42" t="n">
        <f aca="false">ROUND(SUM($Z278:$AI278)-SUM(P277:Y277),2)</f>
        <v>0</v>
      </c>
      <c r="E278" s="55" t="n">
        <f aca="false">SUM(P278:Y278)</f>
        <v>0</v>
      </c>
      <c r="F278" s="42" t="n">
        <f aca="false">AJ278+MIN(Z278-AJ278,MAX(0,'Start Here'!$B$10-SUM($AJ278:$AS278)-SUMPRODUCT(($Z$3:$AI$3&lt;Z$3)*($Z278:$AI278-$AJ278:$AS278))))</f>
        <v>0</v>
      </c>
      <c r="G278" s="42" t="n">
        <f aca="false">AK278+MIN(AA278-AK278,MAX(0,'Start Here'!$B$10-SUM($AJ278:$AS278)-SUMPRODUCT(($Z$3:$AI$3&lt;AA$3)*($Z278:$AI278-$AJ278:$AS278))))</f>
        <v>0</v>
      </c>
      <c r="H278" s="42" t="n">
        <f aca="false">AL278+MIN(AB278-AL278,MAX(0,'Start Here'!$B$10-SUM($AJ278:$AS278)-SUMPRODUCT(($Z$3:$AI$3&lt;AB$3)*($Z278:$AI278-$AJ278:$AS278))))</f>
        <v>0</v>
      </c>
      <c r="I278" s="42" t="n">
        <f aca="false">AM278+MIN(AC278-AM278,MAX(0,'Start Here'!$B$10-SUM($AJ278:$AS278)-SUMPRODUCT(($Z$3:$AI$3&lt;AC$3)*($Z278:$AI278-$AJ278:$AS278))))</f>
        <v>0</v>
      </c>
      <c r="J278" s="42" t="n">
        <f aca="false">AN278+MIN(AD278-AN278,MAX(0,'Start Here'!$B$10-SUM($AJ278:$AS278)-SUMPRODUCT(($Z$3:$AI$3&lt;AD$3)*($Z278:$AI278-$AJ278:$AS278))))</f>
        <v>0</v>
      </c>
      <c r="K278" s="42" t="n">
        <f aca="false">AO278+MIN(AE278-AO278,MAX(0,'Start Here'!$B$10-SUM($AJ278:$AS278)-SUMPRODUCT(($Z$3:$AI$3&lt;AE$3)*($Z278:$AI278-$AJ278:$AS278))))</f>
        <v>0</v>
      </c>
      <c r="L278" s="42" t="n">
        <f aca="false">AP278+MIN(AF278-AP278,MAX(0,'Start Here'!$B$10-SUM($AJ278:$AS278)-SUMPRODUCT(($Z$3:$AI$3&lt;AF$3)*($Z278:$AI278-$AJ278:$AS278))))</f>
        <v>0</v>
      </c>
      <c r="M278" s="42" t="n">
        <f aca="false">AQ278+MIN(AG278-AQ278,MAX(0,'Start Here'!$B$10-SUM($AJ278:$AS278)-SUMPRODUCT(($Z$3:$AI$3&lt;AG$3)*($Z278:$AI278-$AJ278:$AS278))))</f>
        <v>0</v>
      </c>
      <c r="N278" s="42" t="n">
        <f aca="false">AR278+MIN(AH278-AR278,MAX(0,'Start Here'!$B$10-SUM($AJ278:$AS278)-SUMPRODUCT(($Z$3:$AI$3&lt;AH$3)*($Z278:$AI278-$AJ278:$AS278))))</f>
        <v>0</v>
      </c>
      <c r="O278" s="42" t="n">
        <f aca="false">AS278+MIN(AI278-AS278,MAX(0,'Start Here'!$B$10-SUM($AJ278:$AS278)-SUMPRODUCT(($Z$3:$AI$3&lt;AI$3)*($Z278:$AI278-$AJ278:$AS278))))</f>
        <v>0</v>
      </c>
      <c r="P278" s="42" t="n">
        <f aca="false">ROUND(Z278-F278,2)</f>
        <v>0</v>
      </c>
      <c r="Q278" s="42" t="n">
        <f aca="false">ROUND(AA278-G278,2)</f>
        <v>0</v>
      </c>
      <c r="R278" s="42" t="n">
        <f aca="false">ROUND(AB278-H278,2)</f>
        <v>0</v>
      </c>
      <c r="S278" s="42" t="n">
        <f aca="false">ROUND(AC278-I278,2)</f>
        <v>0</v>
      </c>
      <c r="T278" s="42" t="n">
        <f aca="false">ROUND(AD278-J278,2)</f>
        <v>0</v>
      </c>
      <c r="U278" s="42" t="n">
        <f aca="false">ROUND(AE278-K278,2)</f>
        <v>0</v>
      </c>
      <c r="V278" s="42" t="n">
        <f aca="false">ROUND(AF278-L278,2)</f>
        <v>0</v>
      </c>
      <c r="W278" s="42" t="n">
        <f aca="false">ROUND(AG278-M278,2)</f>
        <v>0</v>
      </c>
      <c r="X278" s="42" t="n">
        <f aca="false">ROUND(AH278-N278,2)</f>
        <v>0</v>
      </c>
      <c r="Y278" s="42" t="n">
        <f aca="false">ROUND(AI278-O278,2)</f>
        <v>0</v>
      </c>
      <c r="Z278" s="56" t="n">
        <f aca="false">ROUND(P277*(1+N(Debts!$D$5)/12),2)</f>
        <v>0</v>
      </c>
      <c r="AA278" s="56" t="n">
        <f aca="false">ROUND(Q277*(1+N(Debts!$D$6)/12),2)</f>
        <v>0</v>
      </c>
      <c r="AB278" s="56" t="n">
        <f aca="false">ROUND(R277*(1+N(Debts!$D$7)/12),2)</f>
        <v>0</v>
      </c>
      <c r="AC278" s="56" t="n">
        <f aca="false">ROUND(S277*(1+N(Debts!$D$8)/12),2)</f>
        <v>0</v>
      </c>
      <c r="AD278" s="56" t="n">
        <f aca="false">ROUND(T277*(1+N(Debts!$D$9)/12),2)</f>
        <v>0</v>
      </c>
      <c r="AE278" s="56" t="n">
        <f aca="false">ROUND(U277*(1+N(Debts!$D$10)/12),2)</f>
        <v>0</v>
      </c>
      <c r="AF278" s="56" t="n">
        <f aca="false">ROUND(V277*(1+N(Debts!$D$11)/12),2)</f>
        <v>0</v>
      </c>
      <c r="AG278" s="56" t="n">
        <f aca="false">ROUND(W277*(1+N(Debts!$D$12)/12),2)</f>
        <v>0</v>
      </c>
      <c r="AH278" s="56" t="n">
        <f aca="false">ROUND(X277*(1+N(Debts!$D$13)/12),2)</f>
        <v>0</v>
      </c>
      <c r="AI278" s="56" t="n">
        <f aca="false">ROUND(Y277*(1+N(Debts!$D$14)/12),2)</f>
        <v>0</v>
      </c>
      <c r="AJ278" s="56" t="n">
        <f aca="false">MIN(Z278,MAX(0,N(Debts!$E$5)))</f>
        <v>0</v>
      </c>
      <c r="AK278" s="56" t="n">
        <f aca="false">MIN(AA278,MAX(0,N(Debts!$E$6)))</f>
        <v>0</v>
      </c>
      <c r="AL278" s="56" t="n">
        <f aca="false">MIN(AB278,MAX(0,N(Debts!$E$7)))</f>
        <v>0</v>
      </c>
      <c r="AM278" s="56" t="n">
        <f aca="false">MIN(AC278,MAX(0,N(Debts!$E$8)))</f>
        <v>0</v>
      </c>
      <c r="AN278" s="56" t="n">
        <f aca="false">MIN(AD278,MAX(0,N(Debts!$E$9)))</f>
        <v>0</v>
      </c>
      <c r="AO278" s="56" t="n">
        <f aca="false">MIN(AE278,MAX(0,N(Debts!$E$10)))</f>
        <v>0</v>
      </c>
      <c r="AP278" s="56" t="n">
        <f aca="false">MIN(AF278,MAX(0,N(Debts!$E$11)))</f>
        <v>0</v>
      </c>
      <c r="AQ278" s="56" t="n">
        <f aca="false">MIN(AG278,MAX(0,N(Debts!$E$12)))</f>
        <v>0</v>
      </c>
      <c r="AR278" s="56" t="n">
        <f aca="false">MIN(AH278,MAX(0,N(Debts!$E$13)))</f>
        <v>0</v>
      </c>
      <c r="AS278" s="56" t="n">
        <f aca="false">MIN(AI278,MAX(0,N(Debts!$E$14)))</f>
        <v>0</v>
      </c>
    </row>
    <row r="279" customFormat="false" ht="15" hidden="false" customHeight="false" outlineLevel="0" collapsed="false">
      <c r="A279" s="53" t="n">
        <v>275</v>
      </c>
      <c r="B279" s="54" t="n">
        <f aca="false">EDATE('Start Here'!$B$8,274)</f>
        <v>54667</v>
      </c>
      <c r="C279" s="42" t="n">
        <f aca="false">SUM(F279:O279)</f>
        <v>0</v>
      </c>
      <c r="D279" s="42" t="n">
        <f aca="false">ROUND(SUM($Z279:$AI279)-SUM(P278:Y278),2)</f>
        <v>0</v>
      </c>
      <c r="E279" s="55" t="n">
        <f aca="false">SUM(P279:Y279)</f>
        <v>0</v>
      </c>
      <c r="F279" s="42" t="n">
        <f aca="false">AJ279+MIN(Z279-AJ279,MAX(0,'Start Here'!$B$10-SUM($AJ279:$AS279)-SUMPRODUCT(($Z$3:$AI$3&lt;Z$3)*($Z279:$AI279-$AJ279:$AS279))))</f>
        <v>0</v>
      </c>
      <c r="G279" s="42" t="n">
        <f aca="false">AK279+MIN(AA279-AK279,MAX(0,'Start Here'!$B$10-SUM($AJ279:$AS279)-SUMPRODUCT(($Z$3:$AI$3&lt;AA$3)*($Z279:$AI279-$AJ279:$AS279))))</f>
        <v>0</v>
      </c>
      <c r="H279" s="42" t="n">
        <f aca="false">AL279+MIN(AB279-AL279,MAX(0,'Start Here'!$B$10-SUM($AJ279:$AS279)-SUMPRODUCT(($Z$3:$AI$3&lt;AB$3)*($Z279:$AI279-$AJ279:$AS279))))</f>
        <v>0</v>
      </c>
      <c r="I279" s="42" t="n">
        <f aca="false">AM279+MIN(AC279-AM279,MAX(0,'Start Here'!$B$10-SUM($AJ279:$AS279)-SUMPRODUCT(($Z$3:$AI$3&lt;AC$3)*($Z279:$AI279-$AJ279:$AS279))))</f>
        <v>0</v>
      </c>
      <c r="J279" s="42" t="n">
        <f aca="false">AN279+MIN(AD279-AN279,MAX(0,'Start Here'!$B$10-SUM($AJ279:$AS279)-SUMPRODUCT(($Z$3:$AI$3&lt;AD$3)*($Z279:$AI279-$AJ279:$AS279))))</f>
        <v>0</v>
      </c>
      <c r="K279" s="42" t="n">
        <f aca="false">AO279+MIN(AE279-AO279,MAX(0,'Start Here'!$B$10-SUM($AJ279:$AS279)-SUMPRODUCT(($Z$3:$AI$3&lt;AE$3)*($Z279:$AI279-$AJ279:$AS279))))</f>
        <v>0</v>
      </c>
      <c r="L279" s="42" t="n">
        <f aca="false">AP279+MIN(AF279-AP279,MAX(0,'Start Here'!$B$10-SUM($AJ279:$AS279)-SUMPRODUCT(($Z$3:$AI$3&lt;AF$3)*($Z279:$AI279-$AJ279:$AS279))))</f>
        <v>0</v>
      </c>
      <c r="M279" s="42" t="n">
        <f aca="false">AQ279+MIN(AG279-AQ279,MAX(0,'Start Here'!$B$10-SUM($AJ279:$AS279)-SUMPRODUCT(($Z$3:$AI$3&lt;AG$3)*($Z279:$AI279-$AJ279:$AS279))))</f>
        <v>0</v>
      </c>
      <c r="N279" s="42" t="n">
        <f aca="false">AR279+MIN(AH279-AR279,MAX(0,'Start Here'!$B$10-SUM($AJ279:$AS279)-SUMPRODUCT(($Z$3:$AI$3&lt;AH$3)*($Z279:$AI279-$AJ279:$AS279))))</f>
        <v>0</v>
      </c>
      <c r="O279" s="42" t="n">
        <f aca="false">AS279+MIN(AI279-AS279,MAX(0,'Start Here'!$B$10-SUM($AJ279:$AS279)-SUMPRODUCT(($Z$3:$AI$3&lt;AI$3)*($Z279:$AI279-$AJ279:$AS279))))</f>
        <v>0</v>
      </c>
      <c r="P279" s="42" t="n">
        <f aca="false">ROUND(Z279-F279,2)</f>
        <v>0</v>
      </c>
      <c r="Q279" s="42" t="n">
        <f aca="false">ROUND(AA279-G279,2)</f>
        <v>0</v>
      </c>
      <c r="R279" s="42" t="n">
        <f aca="false">ROUND(AB279-H279,2)</f>
        <v>0</v>
      </c>
      <c r="S279" s="42" t="n">
        <f aca="false">ROUND(AC279-I279,2)</f>
        <v>0</v>
      </c>
      <c r="T279" s="42" t="n">
        <f aca="false">ROUND(AD279-J279,2)</f>
        <v>0</v>
      </c>
      <c r="U279" s="42" t="n">
        <f aca="false">ROUND(AE279-K279,2)</f>
        <v>0</v>
      </c>
      <c r="V279" s="42" t="n">
        <f aca="false">ROUND(AF279-L279,2)</f>
        <v>0</v>
      </c>
      <c r="W279" s="42" t="n">
        <f aca="false">ROUND(AG279-M279,2)</f>
        <v>0</v>
      </c>
      <c r="X279" s="42" t="n">
        <f aca="false">ROUND(AH279-N279,2)</f>
        <v>0</v>
      </c>
      <c r="Y279" s="42" t="n">
        <f aca="false">ROUND(AI279-O279,2)</f>
        <v>0</v>
      </c>
      <c r="Z279" s="56" t="n">
        <f aca="false">ROUND(P278*(1+N(Debts!$D$5)/12),2)</f>
        <v>0</v>
      </c>
      <c r="AA279" s="56" t="n">
        <f aca="false">ROUND(Q278*(1+N(Debts!$D$6)/12),2)</f>
        <v>0</v>
      </c>
      <c r="AB279" s="56" t="n">
        <f aca="false">ROUND(R278*(1+N(Debts!$D$7)/12),2)</f>
        <v>0</v>
      </c>
      <c r="AC279" s="56" t="n">
        <f aca="false">ROUND(S278*(1+N(Debts!$D$8)/12),2)</f>
        <v>0</v>
      </c>
      <c r="AD279" s="56" t="n">
        <f aca="false">ROUND(T278*(1+N(Debts!$D$9)/12),2)</f>
        <v>0</v>
      </c>
      <c r="AE279" s="56" t="n">
        <f aca="false">ROUND(U278*(1+N(Debts!$D$10)/12),2)</f>
        <v>0</v>
      </c>
      <c r="AF279" s="56" t="n">
        <f aca="false">ROUND(V278*(1+N(Debts!$D$11)/12),2)</f>
        <v>0</v>
      </c>
      <c r="AG279" s="56" t="n">
        <f aca="false">ROUND(W278*(1+N(Debts!$D$12)/12),2)</f>
        <v>0</v>
      </c>
      <c r="AH279" s="56" t="n">
        <f aca="false">ROUND(X278*(1+N(Debts!$D$13)/12),2)</f>
        <v>0</v>
      </c>
      <c r="AI279" s="56" t="n">
        <f aca="false">ROUND(Y278*(1+N(Debts!$D$14)/12),2)</f>
        <v>0</v>
      </c>
      <c r="AJ279" s="56" t="n">
        <f aca="false">MIN(Z279,MAX(0,N(Debts!$E$5)))</f>
        <v>0</v>
      </c>
      <c r="AK279" s="56" t="n">
        <f aca="false">MIN(AA279,MAX(0,N(Debts!$E$6)))</f>
        <v>0</v>
      </c>
      <c r="AL279" s="56" t="n">
        <f aca="false">MIN(AB279,MAX(0,N(Debts!$E$7)))</f>
        <v>0</v>
      </c>
      <c r="AM279" s="56" t="n">
        <f aca="false">MIN(AC279,MAX(0,N(Debts!$E$8)))</f>
        <v>0</v>
      </c>
      <c r="AN279" s="56" t="n">
        <f aca="false">MIN(AD279,MAX(0,N(Debts!$E$9)))</f>
        <v>0</v>
      </c>
      <c r="AO279" s="56" t="n">
        <f aca="false">MIN(AE279,MAX(0,N(Debts!$E$10)))</f>
        <v>0</v>
      </c>
      <c r="AP279" s="56" t="n">
        <f aca="false">MIN(AF279,MAX(0,N(Debts!$E$11)))</f>
        <v>0</v>
      </c>
      <c r="AQ279" s="56" t="n">
        <f aca="false">MIN(AG279,MAX(0,N(Debts!$E$12)))</f>
        <v>0</v>
      </c>
      <c r="AR279" s="56" t="n">
        <f aca="false">MIN(AH279,MAX(0,N(Debts!$E$13)))</f>
        <v>0</v>
      </c>
      <c r="AS279" s="56" t="n">
        <f aca="false">MIN(AI279,MAX(0,N(Debts!$E$14)))</f>
        <v>0</v>
      </c>
    </row>
    <row r="280" customFormat="false" ht="15" hidden="false" customHeight="false" outlineLevel="0" collapsed="false">
      <c r="A280" s="53" t="n">
        <v>276</v>
      </c>
      <c r="B280" s="54" t="n">
        <f aca="false">EDATE('Start Here'!$B$8,275)</f>
        <v>54697</v>
      </c>
      <c r="C280" s="42" t="n">
        <f aca="false">SUM(F280:O280)</f>
        <v>0</v>
      </c>
      <c r="D280" s="42" t="n">
        <f aca="false">ROUND(SUM($Z280:$AI280)-SUM(P279:Y279),2)</f>
        <v>0</v>
      </c>
      <c r="E280" s="55" t="n">
        <f aca="false">SUM(P280:Y280)</f>
        <v>0</v>
      </c>
      <c r="F280" s="42" t="n">
        <f aca="false">AJ280+MIN(Z280-AJ280,MAX(0,'Start Here'!$B$10-SUM($AJ280:$AS280)-SUMPRODUCT(($Z$3:$AI$3&lt;Z$3)*($Z280:$AI280-$AJ280:$AS280))))</f>
        <v>0</v>
      </c>
      <c r="G280" s="42" t="n">
        <f aca="false">AK280+MIN(AA280-AK280,MAX(0,'Start Here'!$B$10-SUM($AJ280:$AS280)-SUMPRODUCT(($Z$3:$AI$3&lt;AA$3)*($Z280:$AI280-$AJ280:$AS280))))</f>
        <v>0</v>
      </c>
      <c r="H280" s="42" t="n">
        <f aca="false">AL280+MIN(AB280-AL280,MAX(0,'Start Here'!$B$10-SUM($AJ280:$AS280)-SUMPRODUCT(($Z$3:$AI$3&lt;AB$3)*($Z280:$AI280-$AJ280:$AS280))))</f>
        <v>0</v>
      </c>
      <c r="I280" s="42" t="n">
        <f aca="false">AM280+MIN(AC280-AM280,MAX(0,'Start Here'!$B$10-SUM($AJ280:$AS280)-SUMPRODUCT(($Z$3:$AI$3&lt;AC$3)*($Z280:$AI280-$AJ280:$AS280))))</f>
        <v>0</v>
      </c>
      <c r="J280" s="42" t="n">
        <f aca="false">AN280+MIN(AD280-AN280,MAX(0,'Start Here'!$B$10-SUM($AJ280:$AS280)-SUMPRODUCT(($Z$3:$AI$3&lt;AD$3)*($Z280:$AI280-$AJ280:$AS280))))</f>
        <v>0</v>
      </c>
      <c r="K280" s="42" t="n">
        <f aca="false">AO280+MIN(AE280-AO280,MAX(0,'Start Here'!$B$10-SUM($AJ280:$AS280)-SUMPRODUCT(($Z$3:$AI$3&lt;AE$3)*($Z280:$AI280-$AJ280:$AS280))))</f>
        <v>0</v>
      </c>
      <c r="L280" s="42" t="n">
        <f aca="false">AP280+MIN(AF280-AP280,MAX(0,'Start Here'!$B$10-SUM($AJ280:$AS280)-SUMPRODUCT(($Z$3:$AI$3&lt;AF$3)*($Z280:$AI280-$AJ280:$AS280))))</f>
        <v>0</v>
      </c>
      <c r="M280" s="42" t="n">
        <f aca="false">AQ280+MIN(AG280-AQ280,MAX(0,'Start Here'!$B$10-SUM($AJ280:$AS280)-SUMPRODUCT(($Z$3:$AI$3&lt;AG$3)*($Z280:$AI280-$AJ280:$AS280))))</f>
        <v>0</v>
      </c>
      <c r="N280" s="42" t="n">
        <f aca="false">AR280+MIN(AH280-AR280,MAX(0,'Start Here'!$B$10-SUM($AJ280:$AS280)-SUMPRODUCT(($Z$3:$AI$3&lt;AH$3)*($Z280:$AI280-$AJ280:$AS280))))</f>
        <v>0</v>
      </c>
      <c r="O280" s="42" t="n">
        <f aca="false">AS280+MIN(AI280-AS280,MAX(0,'Start Here'!$B$10-SUM($AJ280:$AS280)-SUMPRODUCT(($Z$3:$AI$3&lt;AI$3)*($Z280:$AI280-$AJ280:$AS280))))</f>
        <v>0</v>
      </c>
      <c r="P280" s="42" t="n">
        <f aca="false">ROUND(Z280-F280,2)</f>
        <v>0</v>
      </c>
      <c r="Q280" s="42" t="n">
        <f aca="false">ROUND(AA280-G280,2)</f>
        <v>0</v>
      </c>
      <c r="R280" s="42" t="n">
        <f aca="false">ROUND(AB280-H280,2)</f>
        <v>0</v>
      </c>
      <c r="S280" s="42" t="n">
        <f aca="false">ROUND(AC280-I280,2)</f>
        <v>0</v>
      </c>
      <c r="T280" s="42" t="n">
        <f aca="false">ROUND(AD280-J280,2)</f>
        <v>0</v>
      </c>
      <c r="U280" s="42" t="n">
        <f aca="false">ROUND(AE280-K280,2)</f>
        <v>0</v>
      </c>
      <c r="V280" s="42" t="n">
        <f aca="false">ROUND(AF280-L280,2)</f>
        <v>0</v>
      </c>
      <c r="W280" s="42" t="n">
        <f aca="false">ROUND(AG280-M280,2)</f>
        <v>0</v>
      </c>
      <c r="X280" s="42" t="n">
        <f aca="false">ROUND(AH280-N280,2)</f>
        <v>0</v>
      </c>
      <c r="Y280" s="42" t="n">
        <f aca="false">ROUND(AI280-O280,2)</f>
        <v>0</v>
      </c>
      <c r="Z280" s="56" t="n">
        <f aca="false">ROUND(P279*(1+N(Debts!$D$5)/12),2)</f>
        <v>0</v>
      </c>
      <c r="AA280" s="56" t="n">
        <f aca="false">ROUND(Q279*(1+N(Debts!$D$6)/12),2)</f>
        <v>0</v>
      </c>
      <c r="AB280" s="56" t="n">
        <f aca="false">ROUND(R279*(1+N(Debts!$D$7)/12),2)</f>
        <v>0</v>
      </c>
      <c r="AC280" s="56" t="n">
        <f aca="false">ROUND(S279*(1+N(Debts!$D$8)/12),2)</f>
        <v>0</v>
      </c>
      <c r="AD280" s="56" t="n">
        <f aca="false">ROUND(T279*(1+N(Debts!$D$9)/12),2)</f>
        <v>0</v>
      </c>
      <c r="AE280" s="56" t="n">
        <f aca="false">ROUND(U279*(1+N(Debts!$D$10)/12),2)</f>
        <v>0</v>
      </c>
      <c r="AF280" s="56" t="n">
        <f aca="false">ROUND(V279*(1+N(Debts!$D$11)/12),2)</f>
        <v>0</v>
      </c>
      <c r="AG280" s="56" t="n">
        <f aca="false">ROUND(W279*(1+N(Debts!$D$12)/12),2)</f>
        <v>0</v>
      </c>
      <c r="AH280" s="56" t="n">
        <f aca="false">ROUND(X279*(1+N(Debts!$D$13)/12),2)</f>
        <v>0</v>
      </c>
      <c r="AI280" s="56" t="n">
        <f aca="false">ROUND(Y279*(1+N(Debts!$D$14)/12),2)</f>
        <v>0</v>
      </c>
      <c r="AJ280" s="56" t="n">
        <f aca="false">MIN(Z280,MAX(0,N(Debts!$E$5)))</f>
        <v>0</v>
      </c>
      <c r="AK280" s="56" t="n">
        <f aca="false">MIN(AA280,MAX(0,N(Debts!$E$6)))</f>
        <v>0</v>
      </c>
      <c r="AL280" s="56" t="n">
        <f aca="false">MIN(AB280,MAX(0,N(Debts!$E$7)))</f>
        <v>0</v>
      </c>
      <c r="AM280" s="56" t="n">
        <f aca="false">MIN(AC280,MAX(0,N(Debts!$E$8)))</f>
        <v>0</v>
      </c>
      <c r="AN280" s="56" t="n">
        <f aca="false">MIN(AD280,MAX(0,N(Debts!$E$9)))</f>
        <v>0</v>
      </c>
      <c r="AO280" s="56" t="n">
        <f aca="false">MIN(AE280,MAX(0,N(Debts!$E$10)))</f>
        <v>0</v>
      </c>
      <c r="AP280" s="56" t="n">
        <f aca="false">MIN(AF280,MAX(0,N(Debts!$E$11)))</f>
        <v>0</v>
      </c>
      <c r="AQ280" s="56" t="n">
        <f aca="false">MIN(AG280,MAX(0,N(Debts!$E$12)))</f>
        <v>0</v>
      </c>
      <c r="AR280" s="56" t="n">
        <f aca="false">MIN(AH280,MAX(0,N(Debts!$E$13)))</f>
        <v>0</v>
      </c>
      <c r="AS280" s="56" t="n">
        <f aca="false">MIN(AI280,MAX(0,N(Debts!$E$14)))</f>
        <v>0</v>
      </c>
    </row>
    <row r="281" customFormat="false" ht="15" hidden="false" customHeight="false" outlineLevel="0" collapsed="false">
      <c r="A281" s="53" t="n">
        <v>277</v>
      </c>
      <c r="B281" s="54" t="n">
        <f aca="false">EDATE('Start Here'!$B$8,276)</f>
        <v>54728</v>
      </c>
      <c r="C281" s="42" t="n">
        <f aca="false">SUM(F281:O281)</f>
        <v>0</v>
      </c>
      <c r="D281" s="42" t="n">
        <f aca="false">ROUND(SUM($Z281:$AI281)-SUM(P280:Y280),2)</f>
        <v>0</v>
      </c>
      <c r="E281" s="55" t="n">
        <f aca="false">SUM(P281:Y281)</f>
        <v>0</v>
      </c>
      <c r="F281" s="42" t="n">
        <f aca="false">AJ281+MIN(Z281-AJ281,MAX(0,'Start Here'!$B$10-SUM($AJ281:$AS281)-SUMPRODUCT(($Z$3:$AI$3&lt;Z$3)*($Z281:$AI281-$AJ281:$AS281))))</f>
        <v>0</v>
      </c>
      <c r="G281" s="42" t="n">
        <f aca="false">AK281+MIN(AA281-AK281,MAX(0,'Start Here'!$B$10-SUM($AJ281:$AS281)-SUMPRODUCT(($Z$3:$AI$3&lt;AA$3)*($Z281:$AI281-$AJ281:$AS281))))</f>
        <v>0</v>
      </c>
      <c r="H281" s="42" t="n">
        <f aca="false">AL281+MIN(AB281-AL281,MAX(0,'Start Here'!$B$10-SUM($AJ281:$AS281)-SUMPRODUCT(($Z$3:$AI$3&lt;AB$3)*($Z281:$AI281-$AJ281:$AS281))))</f>
        <v>0</v>
      </c>
      <c r="I281" s="42" t="n">
        <f aca="false">AM281+MIN(AC281-AM281,MAX(0,'Start Here'!$B$10-SUM($AJ281:$AS281)-SUMPRODUCT(($Z$3:$AI$3&lt;AC$3)*($Z281:$AI281-$AJ281:$AS281))))</f>
        <v>0</v>
      </c>
      <c r="J281" s="42" t="n">
        <f aca="false">AN281+MIN(AD281-AN281,MAX(0,'Start Here'!$B$10-SUM($AJ281:$AS281)-SUMPRODUCT(($Z$3:$AI$3&lt;AD$3)*($Z281:$AI281-$AJ281:$AS281))))</f>
        <v>0</v>
      </c>
      <c r="K281" s="42" t="n">
        <f aca="false">AO281+MIN(AE281-AO281,MAX(0,'Start Here'!$B$10-SUM($AJ281:$AS281)-SUMPRODUCT(($Z$3:$AI$3&lt;AE$3)*($Z281:$AI281-$AJ281:$AS281))))</f>
        <v>0</v>
      </c>
      <c r="L281" s="42" t="n">
        <f aca="false">AP281+MIN(AF281-AP281,MAX(0,'Start Here'!$B$10-SUM($AJ281:$AS281)-SUMPRODUCT(($Z$3:$AI$3&lt;AF$3)*($Z281:$AI281-$AJ281:$AS281))))</f>
        <v>0</v>
      </c>
      <c r="M281" s="42" t="n">
        <f aca="false">AQ281+MIN(AG281-AQ281,MAX(0,'Start Here'!$B$10-SUM($AJ281:$AS281)-SUMPRODUCT(($Z$3:$AI$3&lt;AG$3)*($Z281:$AI281-$AJ281:$AS281))))</f>
        <v>0</v>
      </c>
      <c r="N281" s="42" t="n">
        <f aca="false">AR281+MIN(AH281-AR281,MAX(0,'Start Here'!$B$10-SUM($AJ281:$AS281)-SUMPRODUCT(($Z$3:$AI$3&lt;AH$3)*($Z281:$AI281-$AJ281:$AS281))))</f>
        <v>0</v>
      </c>
      <c r="O281" s="42" t="n">
        <f aca="false">AS281+MIN(AI281-AS281,MAX(0,'Start Here'!$B$10-SUM($AJ281:$AS281)-SUMPRODUCT(($Z$3:$AI$3&lt;AI$3)*($Z281:$AI281-$AJ281:$AS281))))</f>
        <v>0</v>
      </c>
      <c r="P281" s="42" t="n">
        <f aca="false">ROUND(Z281-F281,2)</f>
        <v>0</v>
      </c>
      <c r="Q281" s="42" t="n">
        <f aca="false">ROUND(AA281-G281,2)</f>
        <v>0</v>
      </c>
      <c r="R281" s="42" t="n">
        <f aca="false">ROUND(AB281-H281,2)</f>
        <v>0</v>
      </c>
      <c r="S281" s="42" t="n">
        <f aca="false">ROUND(AC281-I281,2)</f>
        <v>0</v>
      </c>
      <c r="T281" s="42" t="n">
        <f aca="false">ROUND(AD281-J281,2)</f>
        <v>0</v>
      </c>
      <c r="U281" s="42" t="n">
        <f aca="false">ROUND(AE281-K281,2)</f>
        <v>0</v>
      </c>
      <c r="V281" s="42" t="n">
        <f aca="false">ROUND(AF281-L281,2)</f>
        <v>0</v>
      </c>
      <c r="W281" s="42" t="n">
        <f aca="false">ROUND(AG281-M281,2)</f>
        <v>0</v>
      </c>
      <c r="X281" s="42" t="n">
        <f aca="false">ROUND(AH281-N281,2)</f>
        <v>0</v>
      </c>
      <c r="Y281" s="42" t="n">
        <f aca="false">ROUND(AI281-O281,2)</f>
        <v>0</v>
      </c>
      <c r="Z281" s="56" t="n">
        <f aca="false">ROUND(P280*(1+N(Debts!$D$5)/12),2)</f>
        <v>0</v>
      </c>
      <c r="AA281" s="56" t="n">
        <f aca="false">ROUND(Q280*(1+N(Debts!$D$6)/12),2)</f>
        <v>0</v>
      </c>
      <c r="AB281" s="56" t="n">
        <f aca="false">ROUND(R280*(1+N(Debts!$D$7)/12),2)</f>
        <v>0</v>
      </c>
      <c r="AC281" s="56" t="n">
        <f aca="false">ROUND(S280*(1+N(Debts!$D$8)/12),2)</f>
        <v>0</v>
      </c>
      <c r="AD281" s="56" t="n">
        <f aca="false">ROUND(T280*(1+N(Debts!$D$9)/12),2)</f>
        <v>0</v>
      </c>
      <c r="AE281" s="56" t="n">
        <f aca="false">ROUND(U280*(1+N(Debts!$D$10)/12),2)</f>
        <v>0</v>
      </c>
      <c r="AF281" s="56" t="n">
        <f aca="false">ROUND(V280*(1+N(Debts!$D$11)/12),2)</f>
        <v>0</v>
      </c>
      <c r="AG281" s="56" t="n">
        <f aca="false">ROUND(W280*(1+N(Debts!$D$12)/12),2)</f>
        <v>0</v>
      </c>
      <c r="AH281" s="56" t="n">
        <f aca="false">ROUND(X280*(1+N(Debts!$D$13)/12),2)</f>
        <v>0</v>
      </c>
      <c r="AI281" s="56" t="n">
        <f aca="false">ROUND(Y280*(1+N(Debts!$D$14)/12),2)</f>
        <v>0</v>
      </c>
      <c r="AJ281" s="56" t="n">
        <f aca="false">MIN(Z281,MAX(0,N(Debts!$E$5)))</f>
        <v>0</v>
      </c>
      <c r="AK281" s="56" t="n">
        <f aca="false">MIN(AA281,MAX(0,N(Debts!$E$6)))</f>
        <v>0</v>
      </c>
      <c r="AL281" s="56" t="n">
        <f aca="false">MIN(AB281,MAX(0,N(Debts!$E$7)))</f>
        <v>0</v>
      </c>
      <c r="AM281" s="56" t="n">
        <f aca="false">MIN(AC281,MAX(0,N(Debts!$E$8)))</f>
        <v>0</v>
      </c>
      <c r="AN281" s="56" t="n">
        <f aca="false">MIN(AD281,MAX(0,N(Debts!$E$9)))</f>
        <v>0</v>
      </c>
      <c r="AO281" s="56" t="n">
        <f aca="false">MIN(AE281,MAX(0,N(Debts!$E$10)))</f>
        <v>0</v>
      </c>
      <c r="AP281" s="56" t="n">
        <f aca="false">MIN(AF281,MAX(0,N(Debts!$E$11)))</f>
        <v>0</v>
      </c>
      <c r="AQ281" s="56" t="n">
        <f aca="false">MIN(AG281,MAX(0,N(Debts!$E$12)))</f>
        <v>0</v>
      </c>
      <c r="AR281" s="56" t="n">
        <f aca="false">MIN(AH281,MAX(0,N(Debts!$E$13)))</f>
        <v>0</v>
      </c>
      <c r="AS281" s="56" t="n">
        <f aca="false">MIN(AI281,MAX(0,N(Debts!$E$14)))</f>
        <v>0</v>
      </c>
    </row>
    <row r="282" customFormat="false" ht="15" hidden="false" customHeight="false" outlineLevel="0" collapsed="false">
      <c r="A282" s="53" t="n">
        <v>278</v>
      </c>
      <c r="B282" s="54" t="n">
        <f aca="false">EDATE('Start Here'!$B$8,277)</f>
        <v>54758</v>
      </c>
      <c r="C282" s="42" t="n">
        <f aca="false">SUM(F282:O282)</f>
        <v>0</v>
      </c>
      <c r="D282" s="42" t="n">
        <f aca="false">ROUND(SUM($Z282:$AI282)-SUM(P281:Y281),2)</f>
        <v>0</v>
      </c>
      <c r="E282" s="55" t="n">
        <f aca="false">SUM(P282:Y282)</f>
        <v>0</v>
      </c>
      <c r="F282" s="42" t="n">
        <f aca="false">AJ282+MIN(Z282-AJ282,MAX(0,'Start Here'!$B$10-SUM($AJ282:$AS282)-SUMPRODUCT(($Z$3:$AI$3&lt;Z$3)*($Z282:$AI282-$AJ282:$AS282))))</f>
        <v>0</v>
      </c>
      <c r="G282" s="42" t="n">
        <f aca="false">AK282+MIN(AA282-AK282,MAX(0,'Start Here'!$B$10-SUM($AJ282:$AS282)-SUMPRODUCT(($Z$3:$AI$3&lt;AA$3)*($Z282:$AI282-$AJ282:$AS282))))</f>
        <v>0</v>
      </c>
      <c r="H282" s="42" t="n">
        <f aca="false">AL282+MIN(AB282-AL282,MAX(0,'Start Here'!$B$10-SUM($AJ282:$AS282)-SUMPRODUCT(($Z$3:$AI$3&lt;AB$3)*($Z282:$AI282-$AJ282:$AS282))))</f>
        <v>0</v>
      </c>
      <c r="I282" s="42" t="n">
        <f aca="false">AM282+MIN(AC282-AM282,MAX(0,'Start Here'!$B$10-SUM($AJ282:$AS282)-SUMPRODUCT(($Z$3:$AI$3&lt;AC$3)*($Z282:$AI282-$AJ282:$AS282))))</f>
        <v>0</v>
      </c>
      <c r="J282" s="42" t="n">
        <f aca="false">AN282+MIN(AD282-AN282,MAX(0,'Start Here'!$B$10-SUM($AJ282:$AS282)-SUMPRODUCT(($Z$3:$AI$3&lt;AD$3)*($Z282:$AI282-$AJ282:$AS282))))</f>
        <v>0</v>
      </c>
      <c r="K282" s="42" t="n">
        <f aca="false">AO282+MIN(AE282-AO282,MAX(0,'Start Here'!$B$10-SUM($AJ282:$AS282)-SUMPRODUCT(($Z$3:$AI$3&lt;AE$3)*($Z282:$AI282-$AJ282:$AS282))))</f>
        <v>0</v>
      </c>
      <c r="L282" s="42" t="n">
        <f aca="false">AP282+MIN(AF282-AP282,MAX(0,'Start Here'!$B$10-SUM($AJ282:$AS282)-SUMPRODUCT(($Z$3:$AI$3&lt;AF$3)*($Z282:$AI282-$AJ282:$AS282))))</f>
        <v>0</v>
      </c>
      <c r="M282" s="42" t="n">
        <f aca="false">AQ282+MIN(AG282-AQ282,MAX(0,'Start Here'!$B$10-SUM($AJ282:$AS282)-SUMPRODUCT(($Z$3:$AI$3&lt;AG$3)*($Z282:$AI282-$AJ282:$AS282))))</f>
        <v>0</v>
      </c>
      <c r="N282" s="42" t="n">
        <f aca="false">AR282+MIN(AH282-AR282,MAX(0,'Start Here'!$B$10-SUM($AJ282:$AS282)-SUMPRODUCT(($Z$3:$AI$3&lt;AH$3)*($Z282:$AI282-$AJ282:$AS282))))</f>
        <v>0</v>
      </c>
      <c r="O282" s="42" t="n">
        <f aca="false">AS282+MIN(AI282-AS282,MAX(0,'Start Here'!$B$10-SUM($AJ282:$AS282)-SUMPRODUCT(($Z$3:$AI$3&lt;AI$3)*($Z282:$AI282-$AJ282:$AS282))))</f>
        <v>0</v>
      </c>
      <c r="P282" s="42" t="n">
        <f aca="false">ROUND(Z282-F282,2)</f>
        <v>0</v>
      </c>
      <c r="Q282" s="42" t="n">
        <f aca="false">ROUND(AA282-G282,2)</f>
        <v>0</v>
      </c>
      <c r="R282" s="42" t="n">
        <f aca="false">ROUND(AB282-H282,2)</f>
        <v>0</v>
      </c>
      <c r="S282" s="42" t="n">
        <f aca="false">ROUND(AC282-I282,2)</f>
        <v>0</v>
      </c>
      <c r="T282" s="42" t="n">
        <f aca="false">ROUND(AD282-J282,2)</f>
        <v>0</v>
      </c>
      <c r="U282" s="42" t="n">
        <f aca="false">ROUND(AE282-K282,2)</f>
        <v>0</v>
      </c>
      <c r="V282" s="42" t="n">
        <f aca="false">ROUND(AF282-L282,2)</f>
        <v>0</v>
      </c>
      <c r="W282" s="42" t="n">
        <f aca="false">ROUND(AG282-M282,2)</f>
        <v>0</v>
      </c>
      <c r="X282" s="42" t="n">
        <f aca="false">ROUND(AH282-N282,2)</f>
        <v>0</v>
      </c>
      <c r="Y282" s="42" t="n">
        <f aca="false">ROUND(AI282-O282,2)</f>
        <v>0</v>
      </c>
      <c r="Z282" s="56" t="n">
        <f aca="false">ROUND(P281*(1+N(Debts!$D$5)/12),2)</f>
        <v>0</v>
      </c>
      <c r="AA282" s="56" t="n">
        <f aca="false">ROUND(Q281*(1+N(Debts!$D$6)/12),2)</f>
        <v>0</v>
      </c>
      <c r="AB282" s="56" t="n">
        <f aca="false">ROUND(R281*(1+N(Debts!$D$7)/12),2)</f>
        <v>0</v>
      </c>
      <c r="AC282" s="56" t="n">
        <f aca="false">ROUND(S281*(1+N(Debts!$D$8)/12),2)</f>
        <v>0</v>
      </c>
      <c r="AD282" s="56" t="n">
        <f aca="false">ROUND(T281*(1+N(Debts!$D$9)/12),2)</f>
        <v>0</v>
      </c>
      <c r="AE282" s="56" t="n">
        <f aca="false">ROUND(U281*(1+N(Debts!$D$10)/12),2)</f>
        <v>0</v>
      </c>
      <c r="AF282" s="56" t="n">
        <f aca="false">ROUND(V281*(1+N(Debts!$D$11)/12),2)</f>
        <v>0</v>
      </c>
      <c r="AG282" s="56" t="n">
        <f aca="false">ROUND(W281*(1+N(Debts!$D$12)/12),2)</f>
        <v>0</v>
      </c>
      <c r="AH282" s="56" t="n">
        <f aca="false">ROUND(X281*(1+N(Debts!$D$13)/12),2)</f>
        <v>0</v>
      </c>
      <c r="AI282" s="56" t="n">
        <f aca="false">ROUND(Y281*(1+N(Debts!$D$14)/12),2)</f>
        <v>0</v>
      </c>
      <c r="AJ282" s="56" t="n">
        <f aca="false">MIN(Z282,MAX(0,N(Debts!$E$5)))</f>
        <v>0</v>
      </c>
      <c r="AK282" s="56" t="n">
        <f aca="false">MIN(AA282,MAX(0,N(Debts!$E$6)))</f>
        <v>0</v>
      </c>
      <c r="AL282" s="56" t="n">
        <f aca="false">MIN(AB282,MAX(0,N(Debts!$E$7)))</f>
        <v>0</v>
      </c>
      <c r="AM282" s="56" t="n">
        <f aca="false">MIN(AC282,MAX(0,N(Debts!$E$8)))</f>
        <v>0</v>
      </c>
      <c r="AN282" s="56" t="n">
        <f aca="false">MIN(AD282,MAX(0,N(Debts!$E$9)))</f>
        <v>0</v>
      </c>
      <c r="AO282" s="56" t="n">
        <f aca="false">MIN(AE282,MAX(0,N(Debts!$E$10)))</f>
        <v>0</v>
      </c>
      <c r="AP282" s="56" t="n">
        <f aca="false">MIN(AF282,MAX(0,N(Debts!$E$11)))</f>
        <v>0</v>
      </c>
      <c r="AQ282" s="56" t="n">
        <f aca="false">MIN(AG282,MAX(0,N(Debts!$E$12)))</f>
        <v>0</v>
      </c>
      <c r="AR282" s="56" t="n">
        <f aca="false">MIN(AH282,MAX(0,N(Debts!$E$13)))</f>
        <v>0</v>
      </c>
      <c r="AS282" s="56" t="n">
        <f aca="false">MIN(AI282,MAX(0,N(Debts!$E$14)))</f>
        <v>0</v>
      </c>
    </row>
    <row r="283" customFormat="false" ht="15" hidden="false" customHeight="false" outlineLevel="0" collapsed="false">
      <c r="A283" s="53" t="n">
        <v>279</v>
      </c>
      <c r="B283" s="54" t="n">
        <f aca="false">EDATE('Start Here'!$B$8,278)</f>
        <v>54789</v>
      </c>
      <c r="C283" s="42" t="n">
        <f aca="false">SUM(F283:O283)</f>
        <v>0</v>
      </c>
      <c r="D283" s="42" t="n">
        <f aca="false">ROUND(SUM($Z283:$AI283)-SUM(P282:Y282),2)</f>
        <v>0</v>
      </c>
      <c r="E283" s="55" t="n">
        <f aca="false">SUM(P283:Y283)</f>
        <v>0</v>
      </c>
      <c r="F283" s="42" t="n">
        <f aca="false">AJ283+MIN(Z283-AJ283,MAX(0,'Start Here'!$B$10-SUM($AJ283:$AS283)-SUMPRODUCT(($Z$3:$AI$3&lt;Z$3)*($Z283:$AI283-$AJ283:$AS283))))</f>
        <v>0</v>
      </c>
      <c r="G283" s="42" t="n">
        <f aca="false">AK283+MIN(AA283-AK283,MAX(0,'Start Here'!$B$10-SUM($AJ283:$AS283)-SUMPRODUCT(($Z$3:$AI$3&lt;AA$3)*($Z283:$AI283-$AJ283:$AS283))))</f>
        <v>0</v>
      </c>
      <c r="H283" s="42" t="n">
        <f aca="false">AL283+MIN(AB283-AL283,MAX(0,'Start Here'!$B$10-SUM($AJ283:$AS283)-SUMPRODUCT(($Z$3:$AI$3&lt;AB$3)*($Z283:$AI283-$AJ283:$AS283))))</f>
        <v>0</v>
      </c>
      <c r="I283" s="42" t="n">
        <f aca="false">AM283+MIN(AC283-AM283,MAX(0,'Start Here'!$B$10-SUM($AJ283:$AS283)-SUMPRODUCT(($Z$3:$AI$3&lt;AC$3)*($Z283:$AI283-$AJ283:$AS283))))</f>
        <v>0</v>
      </c>
      <c r="J283" s="42" t="n">
        <f aca="false">AN283+MIN(AD283-AN283,MAX(0,'Start Here'!$B$10-SUM($AJ283:$AS283)-SUMPRODUCT(($Z$3:$AI$3&lt;AD$3)*($Z283:$AI283-$AJ283:$AS283))))</f>
        <v>0</v>
      </c>
      <c r="K283" s="42" t="n">
        <f aca="false">AO283+MIN(AE283-AO283,MAX(0,'Start Here'!$B$10-SUM($AJ283:$AS283)-SUMPRODUCT(($Z$3:$AI$3&lt;AE$3)*($Z283:$AI283-$AJ283:$AS283))))</f>
        <v>0</v>
      </c>
      <c r="L283" s="42" t="n">
        <f aca="false">AP283+MIN(AF283-AP283,MAX(0,'Start Here'!$B$10-SUM($AJ283:$AS283)-SUMPRODUCT(($Z$3:$AI$3&lt;AF$3)*($Z283:$AI283-$AJ283:$AS283))))</f>
        <v>0</v>
      </c>
      <c r="M283" s="42" t="n">
        <f aca="false">AQ283+MIN(AG283-AQ283,MAX(0,'Start Here'!$B$10-SUM($AJ283:$AS283)-SUMPRODUCT(($Z$3:$AI$3&lt;AG$3)*($Z283:$AI283-$AJ283:$AS283))))</f>
        <v>0</v>
      </c>
      <c r="N283" s="42" t="n">
        <f aca="false">AR283+MIN(AH283-AR283,MAX(0,'Start Here'!$B$10-SUM($AJ283:$AS283)-SUMPRODUCT(($Z$3:$AI$3&lt;AH$3)*($Z283:$AI283-$AJ283:$AS283))))</f>
        <v>0</v>
      </c>
      <c r="O283" s="42" t="n">
        <f aca="false">AS283+MIN(AI283-AS283,MAX(0,'Start Here'!$B$10-SUM($AJ283:$AS283)-SUMPRODUCT(($Z$3:$AI$3&lt;AI$3)*($Z283:$AI283-$AJ283:$AS283))))</f>
        <v>0</v>
      </c>
      <c r="P283" s="42" t="n">
        <f aca="false">ROUND(Z283-F283,2)</f>
        <v>0</v>
      </c>
      <c r="Q283" s="42" t="n">
        <f aca="false">ROUND(AA283-G283,2)</f>
        <v>0</v>
      </c>
      <c r="R283" s="42" t="n">
        <f aca="false">ROUND(AB283-H283,2)</f>
        <v>0</v>
      </c>
      <c r="S283" s="42" t="n">
        <f aca="false">ROUND(AC283-I283,2)</f>
        <v>0</v>
      </c>
      <c r="T283" s="42" t="n">
        <f aca="false">ROUND(AD283-J283,2)</f>
        <v>0</v>
      </c>
      <c r="U283" s="42" t="n">
        <f aca="false">ROUND(AE283-K283,2)</f>
        <v>0</v>
      </c>
      <c r="V283" s="42" t="n">
        <f aca="false">ROUND(AF283-L283,2)</f>
        <v>0</v>
      </c>
      <c r="W283" s="42" t="n">
        <f aca="false">ROUND(AG283-M283,2)</f>
        <v>0</v>
      </c>
      <c r="X283" s="42" t="n">
        <f aca="false">ROUND(AH283-N283,2)</f>
        <v>0</v>
      </c>
      <c r="Y283" s="42" t="n">
        <f aca="false">ROUND(AI283-O283,2)</f>
        <v>0</v>
      </c>
      <c r="Z283" s="56" t="n">
        <f aca="false">ROUND(P282*(1+N(Debts!$D$5)/12),2)</f>
        <v>0</v>
      </c>
      <c r="AA283" s="56" t="n">
        <f aca="false">ROUND(Q282*(1+N(Debts!$D$6)/12),2)</f>
        <v>0</v>
      </c>
      <c r="AB283" s="56" t="n">
        <f aca="false">ROUND(R282*(1+N(Debts!$D$7)/12),2)</f>
        <v>0</v>
      </c>
      <c r="AC283" s="56" t="n">
        <f aca="false">ROUND(S282*(1+N(Debts!$D$8)/12),2)</f>
        <v>0</v>
      </c>
      <c r="AD283" s="56" t="n">
        <f aca="false">ROUND(T282*(1+N(Debts!$D$9)/12),2)</f>
        <v>0</v>
      </c>
      <c r="AE283" s="56" t="n">
        <f aca="false">ROUND(U282*(1+N(Debts!$D$10)/12),2)</f>
        <v>0</v>
      </c>
      <c r="AF283" s="56" t="n">
        <f aca="false">ROUND(V282*(1+N(Debts!$D$11)/12),2)</f>
        <v>0</v>
      </c>
      <c r="AG283" s="56" t="n">
        <f aca="false">ROUND(W282*(1+N(Debts!$D$12)/12),2)</f>
        <v>0</v>
      </c>
      <c r="AH283" s="56" t="n">
        <f aca="false">ROUND(X282*(1+N(Debts!$D$13)/12),2)</f>
        <v>0</v>
      </c>
      <c r="AI283" s="56" t="n">
        <f aca="false">ROUND(Y282*(1+N(Debts!$D$14)/12),2)</f>
        <v>0</v>
      </c>
      <c r="AJ283" s="56" t="n">
        <f aca="false">MIN(Z283,MAX(0,N(Debts!$E$5)))</f>
        <v>0</v>
      </c>
      <c r="AK283" s="56" t="n">
        <f aca="false">MIN(AA283,MAX(0,N(Debts!$E$6)))</f>
        <v>0</v>
      </c>
      <c r="AL283" s="56" t="n">
        <f aca="false">MIN(AB283,MAX(0,N(Debts!$E$7)))</f>
        <v>0</v>
      </c>
      <c r="AM283" s="56" t="n">
        <f aca="false">MIN(AC283,MAX(0,N(Debts!$E$8)))</f>
        <v>0</v>
      </c>
      <c r="AN283" s="56" t="n">
        <f aca="false">MIN(AD283,MAX(0,N(Debts!$E$9)))</f>
        <v>0</v>
      </c>
      <c r="AO283" s="56" t="n">
        <f aca="false">MIN(AE283,MAX(0,N(Debts!$E$10)))</f>
        <v>0</v>
      </c>
      <c r="AP283" s="56" t="n">
        <f aca="false">MIN(AF283,MAX(0,N(Debts!$E$11)))</f>
        <v>0</v>
      </c>
      <c r="AQ283" s="56" t="n">
        <f aca="false">MIN(AG283,MAX(0,N(Debts!$E$12)))</f>
        <v>0</v>
      </c>
      <c r="AR283" s="56" t="n">
        <f aca="false">MIN(AH283,MAX(0,N(Debts!$E$13)))</f>
        <v>0</v>
      </c>
      <c r="AS283" s="56" t="n">
        <f aca="false">MIN(AI283,MAX(0,N(Debts!$E$14)))</f>
        <v>0</v>
      </c>
    </row>
    <row r="284" customFormat="false" ht="15" hidden="false" customHeight="false" outlineLevel="0" collapsed="false">
      <c r="A284" s="53" t="n">
        <v>280</v>
      </c>
      <c r="B284" s="54" t="n">
        <f aca="false">EDATE('Start Here'!$B$8,279)</f>
        <v>54820</v>
      </c>
      <c r="C284" s="42" t="n">
        <f aca="false">SUM(F284:O284)</f>
        <v>0</v>
      </c>
      <c r="D284" s="42" t="n">
        <f aca="false">ROUND(SUM($Z284:$AI284)-SUM(P283:Y283),2)</f>
        <v>0</v>
      </c>
      <c r="E284" s="55" t="n">
        <f aca="false">SUM(P284:Y284)</f>
        <v>0</v>
      </c>
      <c r="F284" s="42" t="n">
        <f aca="false">AJ284+MIN(Z284-AJ284,MAX(0,'Start Here'!$B$10-SUM($AJ284:$AS284)-SUMPRODUCT(($Z$3:$AI$3&lt;Z$3)*($Z284:$AI284-$AJ284:$AS284))))</f>
        <v>0</v>
      </c>
      <c r="G284" s="42" t="n">
        <f aca="false">AK284+MIN(AA284-AK284,MAX(0,'Start Here'!$B$10-SUM($AJ284:$AS284)-SUMPRODUCT(($Z$3:$AI$3&lt;AA$3)*($Z284:$AI284-$AJ284:$AS284))))</f>
        <v>0</v>
      </c>
      <c r="H284" s="42" t="n">
        <f aca="false">AL284+MIN(AB284-AL284,MAX(0,'Start Here'!$B$10-SUM($AJ284:$AS284)-SUMPRODUCT(($Z$3:$AI$3&lt;AB$3)*($Z284:$AI284-$AJ284:$AS284))))</f>
        <v>0</v>
      </c>
      <c r="I284" s="42" t="n">
        <f aca="false">AM284+MIN(AC284-AM284,MAX(0,'Start Here'!$B$10-SUM($AJ284:$AS284)-SUMPRODUCT(($Z$3:$AI$3&lt;AC$3)*($Z284:$AI284-$AJ284:$AS284))))</f>
        <v>0</v>
      </c>
      <c r="J284" s="42" t="n">
        <f aca="false">AN284+MIN(AD284-AN284,MAX(0,'Start Here'!$B$10-SUM($AJ284:$AS284)-SUMPRODUCT(($Z$3:$AI$3&lt;AD$3)*($Z284:$AI284-$AJ284:$AS284))))</f>
        <v>0</v>
      </c>
      <c r="K284" s="42" t="n">
        <f aca="false">AO284+MIN(AE284-AO284,MAX(0,'Start Here'!$B$10-SUM($AJ284:$AS284)-SUMPRODUCT(($Z$3:$AI$3&lt;AE$3)*($Z284:$AI284-$AJ284:$AS284))))</f>
        <v>0</v>
      </c>
      <c r="L284" s="42" t="n">
        <f aca="false">AP284+MIN(AF284-AP284,MAX(0,'Start Here'!$B$10-SUM($AJ284:$AS284)-SUMPRODUCT(($Z$3:$AI$3&lt;AF$3)*($Z284:$AI284-$AJ284:$AS284))))</f>
        <v>0</v>
      </c>
      <c r="M284" s="42" t="n">
        <f aca="false">AQ284+MIN(AG284-AQ284,MAX(0,'Start Here'!$B$10-SUM($AJ284:$AS284)-SUMPRODUCT(($Z$3:$AI$3&lt;AG$3)*($Z284:$AI284-$AJ284:$AS284))))</f>
        <v>0</v>
      </c>
      <c r="N284" s="42" t="n">
        <f aca="false">AR284+MIN(AH284-AR284,MAX(0,'Start Here'!$B$10-SUM($AJ284:$AS284)-SUMPRODUCT(($Z$3:$AI$3&lt;AH$3)*($Z284:$AI284-$AJ284:$AS284))))</f>
        <v>0</v>
      </c>
      <c r="O284" s="42" t="n">
        <f aca="false">AS284+MIN(AI284-AS284,MAX(0,'Start Here'!$B$10-SUM($AJ284:$AS284)-SUMPRODUCT(($Z$3:$AI$3&lt;AI$3)*($Z284:$AI284-$AJ284:$AS284))))</f>
        <v>0</v>
      </c>
      <c r="P284" s="42" t="n">
        <f aca="false">ROUND(Z284-F284,2)</f>
        <v>0</v>
      </c>
      <c r="Q284" s="42" t="n">
        <f aca="false">ROUND(AA284-G284,2)</f>
        <v>0</v>
      </c>
      <c r="R284" s="42" t="n">
        <f aca="false">ROUND(AB284-H284,2)</f>
        <v>0</v>
      </c>
      <c r="S284" s="42" t="n">
        <f aca="false">ROUND(AC284-I284,2)</f>
        <v>0</v>
      </c>
      <c r="T284" s="42" t="n">
        <f aca="false">ROUND(AD284-J284,2)</f>
        <v>0</v>
      </c>
      <c r="U284" s="42" t="n">
        <f aca="false">ROUND(AE284-K284,2)</f>
        <v>0</v>
      </c>
      <c r="V284" s="42" t="n">
        <f aca="false">ROUND(AF284-L284,2)</f>
        <v>0</v>
      </c>
      <c r="W284" s="42" t="n">
        <f aca="false">ROUND(AG284-M284,2)</f>
        <v>0</v>
      </c>
      <c r="X284" s="42" t="n">
        <f aca="false">ROUND(AH284-N284,2)</f>
        <v>0</v>
      </c>
      <c r="Y284" s="42" t="n">
        <f aca="false">ROUND(AI284-O284,2)</f>
        <v>0</v>
      </c>
      <c r="Z284" s="56" t="n">
        <f aca="false">ROUND(P283*(1+N(Debts!$D$5)/12),2)</f>
        <v>0</v>
      </c>
      <c r="AA284" s="56" t="n">
        <f aca="false">ROUND(Q283*(1+N(Debts!$D$6)/12),2)</f>
        <v>0</v>
      </c>
      <c r="AB284" s="56" t="n">
        <f aca="false">ROUND(R283*(1+N(Debts!$D$7)/12),2)</f>
        <v>0</v>
      </c>
      <c r="AC284" s="56" t="n">
        <f aca="false">ROUND(S283*(1+N(Debts!$D$8)/12),2)</f>
        <v>0</v>
      </c>
      <c r="AD284" s="56" t="n">
        <f aca="false">ROUND(T283*(1+N(Debts!$D$9)/12),2)</f>
        <v>0</v>
      </c>
      <c r="AE284" s="56" t="n">
        <f aca="false">ROUND(U283*(1+N(Debts!$D$10)/12),2)</f>
        <v>0</v>
      </c>
      <c r="AF284" s="56" t="n">
        <f aca="false">ROUND(V283*(1+N(Debts!$D$11)/12),2)</f>
        <v>0</v>
      </c>
      <c r="AG284" s="56" t="n">
        <f aca="false">ROUND(W283*(1+N(Debts!$D$12)/12),2)</f>
        <v>0</v>
      </c>
      <c r="AH284" s="56" t="n">
        <f aca="false">ROUND(X283*(1+N(Debts!$D$13)/12),2)</f>
        <v>0</v>
      </c>
      <c r="AI284" s="56" t="n">
        <f aca="false">ROUND(Y283*(1+N(Debts!$D$14)/12),2)</f>
        <v>0</v>
      </c>
      <c r="AJ284" s="56" t="n">
        <f aca="false">MIN(Z284,MAX(0,N(Debts!$E$5)))</f>
        <v>0</v>
      </c>
      <c r="AK284" s="56" t="n">
        <f aca="false">MIN(AA284,MAX(0,N(Debts!$E$6)))</f>
        <v>0</v>
      </c>
      <c r="AL284" s="56" t="n">
        <f aca="false">MIN(AB284,MAX(0,N(Debts!$E$7)))</f>
        <v>0</v>
      </c>
      <c r="AM284" s="56" t="n">
        <f aca="false">MIN(AC284,MAX(0,N(Debts!$E$8)))</f>
        <v>0</v>
      </c>
      <c r="AN284" s="56" t="n">
        <f aca="false">MIN(AD284,MAX(0,N(Debts!$E$9)))</f>
        <v>0</v>
      </c>
      <c r="AO284" s="56" t="n">
        <f aca="false">MIN(AE284,MAX(0,N(Debts!$E$10)))</f>
        <v>0</v>
      </c>
      <c r="AP284" s="56" t="n">
        <f aca="false">MIN(AF284,MAX(0,N(Debts!$E$11)))</f>
        <v>0</v>
      </c>
      <c r="AQ284" s="56" t="n">
        <f aca="false">MIN(AG284,MAX(0,N(Debts!$E$12)))</f>
        <v>0</v>
      </c>
      <c r="AR284" s="56" t="n">
        <f aca="false">MIN(AH284,MAX(0,N(Debts!$E$13)))</f>
        <v>0</v>
      </c>
      <c r="AS284" s="56" t="n">
        <f aca="false">MIN(AI284,MAX(0,N(Debts!$E$14)))</f>
        <v>0</v>
      </c>
    </row>
    <row r="285" customFormat="false" ht="15" hidden="false" customHeight="false" outlineLevel="0" collapsed="false">
      <c r="A285" s="53" t="n">
        <v>281</v>
      </c>
      <c r="B285" s="54" t="n">
        <f aca="false">EDATE('Start Here'!$B$8,280)</f>
        <v>54848</v>
      </c>
      <c r="C285" s="42" t="n">
        <f aca="false">SUM(F285:O285)</f>
        <v>0</v>
      </c>
      <c r="D285" s="42" t="n">
        <f aca="false">ROUND(SUM($Z285:$AI285)-SUM(P284:Y284),2)</f>
        <v>0</v>
      </c>
      <c r="E285" s="55" t="n">
        <f aca="false">SUM(P285:Y285)</f>
        <v>0</v>
      </c>
      <c r="F285" s="42" t="n">
        <f aca="false">AJ285+MIN(Z285-AJ285,MAX(0,'Start Here'!$B$10-SUM($AJ285:$AS285)-SUMPRODUCT(($Z$3:$AI$3&lt;Z$3)*($Z285:$AI285-$AJ285:$AS285))))</f>
        <v>0</v>
      </c>
      <c r="G285" s="42" t="n">
        <f aca="false">AK285+MIN(AA285-AK285,MAX(0,'Start Here'!$B$10-SUM($AJ285:$AS285)-SUMPRODUCT(($Z$3:$AI$3&lt;AA$3)*($Z285:$AI285-$AJ285:$AS285))))</f>
        <v>0</v>
      </c>
      <c r="H285" s="42" t="n">
        <f aca="false">AL285+MIN(AB285-AL285,MAX(0,'Start Here'!$B$10-SUM($AJ285:$AS285)-SUMPRODUCT(($Z$3:$AI$3&lt;AB$3)*($Z285:$AI285-$AJ285:$AS285))))</f>
        <v>0</v>
      </c>
      <c r="I285" s="42" t="n">
        <f aca="false">AM285+MIN(AC285-AM285,MAX(0,'Start Here'!$B$10-SUM($AJ285:$AS285)-SUMPRODUCT(($Z$3:$AI$3&lt;AC$3)*($Z285:$AI285-$AJ285:$AS285))))</f>
        <v>0</v>
      </c>
      <c r="J285" s="42" t="n">
        <f aca="false">AN285+MIN(AD285-AN285,MAX(0,'Start Here'!$B$10-SUM($AJ285:$AS285)-SUMPRODUCT(($Z$3:$AI$3&lt;AD$3)*($Z285:$AI285-$AJ285:$AS285))))</f>
        <v>0</v>
      </c>
      <c r="K285" s="42" t="n">
        <f aca="false">AO285+MIN(AE285-AO285,MAX(0,'Start Here'!$B$10-SUM($AJ285:$AS285)-SUMPRODUCT(($Z$3:$AI$3&lt;AE$3)*($Z285:$AI285-$AJ285:$AS285))))</f>
        <v>0</v>
      </c>
      <c r="L285" s="42" t="n">
        <f aca="false">AP285+MIN(AF285-AP285,MAX(0,'Start Here'!$B$10-SUM($AJ285:$AS285)-SUMPRODUCT(($Z$3:$AI$3&lt;AF$3)*($Z285:$AI285-$AJ285:$AS285))))</f>
        <v>0</v>
      </c>
      <c r="M285" s="42" t="n">
        <f aca="false">AQ285+MIN(AG285-AQ285,MAX(0,'Start Here'!$B$10-SUM($AJ285:$AS285)-SUMPRODUCT(($Z$3:$AI$3&lt;AG$3)*($Z285:$AI285-$AJ285:$AS285))))</f>
        <v>0</v>
      </c>
      <c r="N285" s="42" t="n">
        <f aca="false">AR285+MIN(AH285-AR285,MAX(0,'Start Here'!$B$10-SUM($AJ285:$AS285)-SUMPRODUCT(($Z$3:$AI$3&lt;AH$3)*($Z285:$AI285-$AJ285:$AS285))))</f>
        <v>0</v>
      </c>
      <c r="O285" s="42" t="n">
        <f aca="false">AS285+MIN(AI285-AS285,MAX(0,'Start Here'!$B$10-SUM($AJ285:$AS285)-SUMPRODUCT(($Z$3:$AI$3&lt;AI$3)*($Z285:$AI285-$AJ285:$AS285))))</f>
        <v>0</v>
      </c>
      <c r="P285" s="42" t="n">
        <f aca="false">ROUND(Z285-F285,2)</f>
        <v>0</v>
      </c>
      <c r="Q285" s="42" t="n">
        <f aca="false">ROUND(AA285-G285,2)</f>
        <v>0</v>
      </c>
      <c r="R285" s="42" t="n">
        <f aca="false">ROUND(AB285-H285,2)</f>
        <v>0</v>
      </c>
      <c r="S285" s="42" t="n">
        <f aca="false">ROUND(AC285-I285,2)</f>
        <v>0</v>
      </c>
      <c r="T285" s="42" t="n">
        <f aca="false">ROUND(AD285-J285,2)</f>
        <v>0</v>
      </c>
      <c r="U285" s="42" t="n">
        <f aca="false">ROUND(AE285-K285,2)</f>
        <v>0</v>
      </c>
      <c r="V285" s="42" t="n">
        <f aca="false">ROUND(AF285-L285,2)</f>
        <v>0</v>
      </c>
      <c r="W285" s="42" t="n">
        <f aca="false">ROUND(AG285-M285,2)</f>
        <v>0</v>
      </c>
      <c r="X285" s="42" t="n">
        <f aca="false">ROUND(AH285-N285,2)</f>
        <v>0</v>
      </c>
      <c r="Y285" s="42" t="n">
        <f aca="false">ROUND(AI285-O285,2)</f>
        <v>0</v>
      </c>
      <c r="Z285" s="56" t="n">
        <f aca="false">ROUND(P284*(1+N(Debts!$D$5)/12),2)</f>
        <v>0</v>
      </c>
      <c r="AA285" s="56" t="n">
        <f aca="false">ROUND(Q284*(1+N(Debts!$D$6)/12),2)</f>
        <v>0</v>
      </c>
      <c r="AB285" s="56" t="n">
        <f aca="false">ROUND(R284*(1+N(Debts!$D$7)/12),2)</f>
        <v>0</v>
      </c>
      <c r="AC285" s="56" t="n">
        <f aca="false">ROUND(S284*(1+N(Debts!$D$8)/12),2)</f>
        <v>0</v>
      </c>
      <c r="AD285" s="56" t="n">
        <f aca="false">ROUND(T284*(1+N(Debts!$D$9)/12),2)</f>
        <v>0</v>
      </c>
      <c r="AE285" s="56" t="n">
        <f aca="false">ROUND(U284*(1+N(Debts!$D$10)/12),2)</f>
        <v>0</v>
      </c>
      <c r="AF285" s="56" t="n">
        <f aca="false">ROUND(V284*(1+N(Debts!$D$11)/12),2)</f>
        <v>0</v>
      </c>
      <c r="AG285" s="56" t="n">
        <f aca="false">ROUND(W284*(1+N(Debts!$D$12)/12),2)</f>
        <v>0</v>
      </c>
      <c r="AH285" s="56" t="n">
        <f aca="false">ROUND(X284*(1+N(Debts!$D$13)/12),2)</f>
        <v>0</v>
      </c>
      <c r="AI285" s="56" t="n">
        <f aca="false">ROUND(Y284*(1+N(Debts!$D$14)/12),2)</f>
        <v>0</v>
      </c>
      <c r="AJ285" s="56" t="n">
        <f aca="false">MIN(Z285,MAX(0,N(Debts!$E$5)))</f>
        <v>0</v>
      </c>
      <c r="AK285" s="56" t="n">
        <f aca="false">MIN(AA285,MAX(0,N(Debts!$E$6)))</f>
        <v>0</v>
      </c>
      <c r="AL285" s="56" t="n">
        <f aca="false">MIN(AB285,MAX(0,N(Debts!$E$7)))</f>
        <v>0</v>
      </c>
      <c r="AM285" s="56" t="n">
        <f aca="false">MIN(AC285,MAX(0,N(Debts!$E$8)))</f>
        <v>0</v>
      </c>
      <c r="AN285" s="56" t="n">
        <f aca="false">MIN(AD285,MAX(0,N(Debts!$E$9)))</f>
        <v>0</v>
      </c>
      <c r="AO285" s="56" t="n">
        <f aca="false">MIN(AE285,MAX(0,N(Debts!$E$10)))</f>
        <v>0</v>
      </c>
      <c r="AP285" s="56" t="n">
        <f aca="false">MIN(AF285,MAX(0,N(Debts!$E$11)))</f>
        <v>0</v>
      </c>
      <c r="AQ285" s="56" t="n">
        <f aca="false">MIN(AG285,MAX(0,N(Debts!$E$12)))</f>
        <v>0</v>
      </c>
      <c r="AR285" s="56" t="n">
        <f aca="false">MIN(AH285,MAX(0,N(Debts!$E$13)))</f>
        <v>0</v>
      </c>
      <c r="AS285" s="56" t="n">
        <f aca="false">MIN(AI285,MAX(0,N(Debts!$E$14)))</f>
        <v>0</v>
      </c>
    </row>
    <row r="286" customFormat="false" ht="15" hidden="false" customHeight="false" outlineLevel="0" collapsed="false">
      <c r="A286" s="53" t="n">
        <v>282</v>
      </c>
      <c r="B286" s="54" t="n">
        <f aca="false">EDATE('Start Here'!$B$8,281)</f>
        <v>54879</v>
      </c>
      <c r="C286" s="42" t="n">
        <f aca="false">SUM(F286:O286)</f>
        <v>0</v>
      </c>
      <c r="D286" s="42" t="n">
        <f aca="false">ROUND(SUM($Z286:$AI286)-SUM(P285:Y285),2)</f>
        <v>0</v>
      </c>
      <c r="E286" s="55" t="n">
        <f aca="false">SUM(P286:Y286)</f>
        <v>0</v>
      </c>
      <c r="F286" s="42" t="n">
        <f aca="false">AJ286+MIN(Z286-AJ286,MAX(0,'Start Here'!$B$10-SUM($AJ286:$AS286)-SUMPRODUCT(($Z$3:$AI$3&lt;Z$3)*($Z286:$AI286-$AJ286:$AS286))))</f>
        <v>0</v>
      </c>
      <c r="G286" s="42" t="n">
        <f aca="false">AK286+MIN(AA286-AK286,MAX(0,'Start Here'!$B$10-SUM($AJ286:$AS286)-SUMPRODUCT(($Z$3:$AI$3&lt;AA$3)*($Z286:$AI286-$AJ286:$AS286))))</f>
        <v>0</v>
      </c>
      <c r="H286" s="42" t="n">
        <f aca="false">AL286+MIN(AB286-AL286,MAX(0,'Start Here'!$B$10-SUM($AJ286:$AS286)-SUMPRODUCT(($Z$3:$AI$3&lt;AB$3)*($Z286:$AI286-$AJ286:$AS286))))</f>
        <v>0</v>
      </c>
      <c r="I286" s="42" t="n">
        <f aca="false">AM286+MIN(AC286-AM286,MAX(0,'Start Here'!$B$10-SUM($AJ286:$AS286)-SUMPRODUCT(($Z$3:$AI$3&lt;AC$3)*($Z286:$AI286-$AJ286:$AS286))))</f>
        <v>0</v>
      </c>
      <c r="J286" s="42" t="n">
        <f aca="false">AN286+MIN(AD286-AN286,MAX(0,'Start Here'!$B$10-SUM($AJ286:$AS286)-SUMPRODUCT(($Z$3:$AI$3&lt;AD$3)*($Z286:$AI286-$AJ286:$AS286))))</f>
        <v>0</v>
      </c>
      <c r="K286" s="42" t="n">
        <f aca="false">AO286+MIN(AE286-AO286,MAX(0,'Start Here'!$B$10-SUM($AJ286:$AS286)-SUMPRODUCT(($Z$3:$AI$3&lt;AE$3)*($Z286:$AI286-$AJ286:$AS286))))</f>
        <v>0</v>
      </c>
      <c r="L286" s="42" t="n">
        <f aca="false">AP286+MIN(AF286-AP286,MAX(0,'Start Here'!$B$10-SUM($AJ286:$AS286)-SUMPRODUCT(($Z$3:$AI$3&lt;AF$3)*($Z286:$AI286-$AJ286:$AS286))))</f>
        <v>0</v>
      </c>
      <c r="M286" s="42" t="n">
        <f aca="false">AQ286+MIN(AG286-AQ286,MAX(0,'Start Here'!$B$10-SUM($AJ286:$AS286)-SUMPRODUCT(($Z$3:$AI$3&lt;AG$3)*($Z286:$AI286-$AJ286:$AS286))))</f>
        <v>0</v>
      </c>
      <c r="N286" s="42" t="n">
        <f aca="false">AR286+MIN(AH286-AR286,MAX(0,'Start Here'!$B$10-SUM($AJ286:$AS286)-SUMPRODUCT(($Z$3:$AI$3&lt;AH$3)*($Z286:$AI286-$AJ286:$AS286))))</f>
        <v>0</v>
      </c>
      <c r="O286" s="42" t="n">
        <f aca="false">AS286+MIN(AI286-AS286,MAX(0,'Start Here'!$B$10-SUM($AJ286:$AS286)-SUMPRODUCT(($Z$3:$AI$3&lt;AI$3)*($Z286:$AI286-$AJ286:$AS286))))</f>
        <v>0</v>
      </c>
      <c r="P286" s="42" t="n">
        <f aca="false">ROUND(Z286-F286,2)</f>
        <v>0</v>
      </c>
      <c r="Q286" s="42" t="n">
        <f aca="false">ROUND(AA286-G286,2)</f>
        <v>0</v>
      </c>
      <c r="R286" s="42" t="n">
        <f aca="false">ROUND(AB286-H286,2)</f>
        <v>0</v>
      </c>
      <c r="S286" s="42" t="n">
        <f aca="false">ROUND(AC286-I286,2)</f>
        <v>0</v>
      </c>
      <c r="T286" s="42" t="n">
        <f aca="false">ROUND(AD286-J286,2)</f>
        <v>0</v>
      </c>
      <c r="U286" s="42" t="n">
        <f aca="false">ROUND(AE286-K286,2)</f>
        <v>0</v>
      </c>
      <c r="V286" s="42" t="n">
        <f aca="false">ROUND(AF286-L286,2)</f>
        <v>0</v>
      </c>
      <c r="W286" s="42" t="n">
        <f aca="false">ROUND(AG286-M286,2)</f>
        <v>0</v>
      </c>
      <c r="X286" s="42" t="n">
        <f aca="false">ROUND(AH286-N286,2)</f>
        <v>0</v>
      </c>
      <c r="Y286" s="42" t="n">
        <f aca="false">ROUND(AI286-O286,2)</f>
        <v>0</v>
      </c>
      <c r="Z286" s="56" t="n">
        <f aca="false">ROUND(P285*(1+N(Debts!$D$5)/12),2)</f>
        <v>0</v>
      </c>
      <c r="AA286" s="56" t="n">
        <f aca="false">ROUND(Q285*(1+N(Debts!$D$6)/12),2)</f>
        <v>0</v>
      </c>
      <c r="AB286" s="56" t="n">
        <f aca="false">ROUND(R285*(1+N(Debts!$D$7)/12),2)</f>
        <v>0</v>
      </c>
      <c r="AC286" s="56" t="n">
        <f aca="false">ROUND(S285*(1+N(Debts!$D$8)/12),2)</f>
        <v>0</v>
      </c>
      <c r="AD286" s="56" t="n">
        <f aca="false">ROUND(T285*(1+N(Debts!$D$9)/12),2)</f>
        <v>0</v>
      </c>
      <c r="AE286" s="56" t="n">
        <f aca="false">ROUND(U285*(1+N(Debts!$D$10)/12),2)</f>
        <v>0</v>
      </c>
      <c r="AF286" s="56" t="n">
        <f aca="false">ROUND(V285*(1+N(Debts!$D$11)/12),2)</f>
        <v>0</v>
      </c>
      <c r="AG286" s="56" t="n">
        <f aca="false">ROUND(W285*(1+N(Debts!$D$12)/12),2)</f>
        <v>0</v>
      </c>
      <c r="AH286" s="56" t="n">
        <f aca="false">ROUND(X285*(1+N(Debts!$D$13)/12),2)</f>
        <v>0</v>
      </c>
      <c r="AI286" s="56" t="n">
        <f aca="false">ROUND(Y285*(1+N(Debts!$D$14)/12),2)</f>
        <v>0</v>
      </c>
      <c r="AJ286" s="56" t="n">
        <f aca="false">MIN(Z286,MAX(0,N(Debts!$E$5)))</f>
        <v>0</v>
      </c>
      <c r="AK286" s="56" t="n">
        <f aca="false">MIN(AA286,MAX(0,N(Debts!$E$6)))</f>
        <v>0</v>
      </c>
      <c r="AL286" s="56" t="n">
        <f aca="false">MIN(AB286,MAX(0,N(Debts!$E$7)))</f>
        <v>0</v>
      </c>
      <c r="AM286" s="56" t="n">
        <f aca="false">MIN(AC286,MAX(0,N(Debts!$E$8)))</f>
        <v>0</v>
      </c>
      <c r="AN286" s="56" t="n">
        <f aca="false">MIN(AD286,MAX(0,N(Debts!$E$9)))</f>
        <v>0</v>
      </c>
      <c r="AO286" s="56" t="n">
        <f aca="false">MIN(AE286,MAX(0,N(Debts!$E$10)))</f>
        <v>0</v>
      </c>
      <c r="AP286" s="56" t="n">
        <f aca="false">MIN(AF286,MAX(0,N(Debts!$E$11)))</f>
        <v>0</v>
      </c>
      <c r="AQ286" s="56" t="n">
        <f aca="false">MIN(AG286,MAX(0,N(Debts!$E$12)))</f>
        <v>0</v>
      </c>
      <c r="AR286" s="56" t="n">
        <f aca="false">MIN(AH286,MAX(0,N(Debts!$E$13)))</f>
        <v>0</v>
      </c>
      <c r="AS286" s="56" t="n">
        <f aca="false">MIN(AI286,MAX(0,N(Debts!$E$14)))</f>
        <v>0</v>
      </c>
    </row>
    <row r="287" customFormat="false" ht="15" hidden="false" customHeight="false" outlineLevel="0" collapsed="false">
      <c r="A287" s="53" t="n">
        <v>283</v>
      </c>
      <c r="B287" s="54" t="n">
        <f aca="false">EDATE('Start Here'!$B$8,282)</f>
        <v>54909</v>
      </c>
      <c r="C287" s="42" t="n">
        <f aca="false">SUM(F287:O287)</f>
        <v>0</v>
      </c>
      <c r="D287" s="42" t="n">
        <f aca="false">ROUND(SUM($Z287:$AI287)-SUM(P286:Y286),2)</f>
        <v>0</v>
      </c>
      <c r="E287" s="55" t="n">
        <f aca="false">SUM(P287:Y287)</f>
        <v>0</v>
      </c>
      <c r="F287" s="42" t="n">
        <f aca="false">AJ287+MIN(Z287-AJ287,MAX(0,'Start Here'!$B$10-SUM($AJ287:$AS287)-SUMPRODUCT(($Z$3:$AI$3&lt;Z$3)*($Z287:$AI287-$AJ287:$AS287))))</f>
        <v>0</v>
      </c>
      <c r="G287" s="42" t="n">
        <f aca="false">AK287+MIN(AA287-AK287,MAX(0,'Start Here'!$B$10-SUM($AJ287:$AS287)-SUMPRODUCT(($Z$3:$AI$3&lt;AA$3)*($Z287:$AI287-$AJ287:$AS287))))</f>
        <v>0</v>
      </c>
      <c r="H287" s="42" t="n">
        <f aca="false">AL287+MIN(AB287-AL287,MAX(0,'Start Here'!$B$10-SUM($AJ287:$AS287)-SUMPRODUCT(($Z$3:$AI$3&lt;AB$3)*($Z287:$AI287-$AJ287:$AS287))))</f>
        <v>0</v>
      </c>
      <c r="I287" s="42" t="n">
        <f aca="false">AM287+MIN(AC287-AM287,MAX(0,'Start Here'!$B$10-SUM($AJ287:$AS287)-SUMPRODUCT(($Z$3:$AI$3&lt;AC$3)*($Z287:$AI287-$AJ287:$AS287))))</f>
        <v>0</v>
      </c>
      <c r="J287" s="42" t="n">
        <f aca="false">AN287+MIN(AD287-AN287,MAX(0,'Start Here'!$B$10-SUM($AJ287:$AS287)-SUMPRODUCT(($Z$3:$AI$3&lt;AD$3)*($Z287:$AI287-$AJ287:$AS287))))</f>
        <v>0</v>
      </c>
      <c r="K287" s="42" t="n">
        <f aca="false">AO287+MIN(AE287-AO287,MAX(0,'Start Here'!$B$10-SUM($AJ287:$AS287)-SUMPRODUCT(($Z$3:$AI$3&lt;AE$3)*($Z287:$AI287-$AJ287:$AS287))))</f>
        <v>0</v>
      </c>
      <c r="L287" s="42" t="n">
        <f aca="false">AP287+MIN(AF287-AP287,MAX(0,'Start Here'!$B$10-SUM($AJ287:$AS287)-SUMPRODUCT(($Z$3:$AI$3&lt;AF$3)*($Z287:$AI287-$AJ287:$AS287))))</f>
        <v>0</v>
      </c>
      <c r="M287" s="42" t="n">
        <f aca="false">AQ287+MIN(AG287-AQ287,MAX(0,'Start Here'!$B$10-SUM($AJ287:$AS287)-SUMPRODUCT(($Z$3:$AI$3&lt;AG$3)*($Z287:$AI287-$AJ287:$AS287))))</f>
        <v>0</v>
      </c>
      <c r="N287" s="42" t="n">
        <f aca="false">AR287+MIN(AH287-AR287,MAX(0,'Start Here'!$B$10-SUM($AJ287:$AS287)-SUMPRODUCT(($Z$3:$AI$3&lt;AH$3)*($Z287:$AI287-$AJ287:$AS287))))</f>
        <v>0</v>
      </c>
      <c r="O287" s="42" t="n">
        <f aca="false">AS287+MIN(AI287-AS287,MAX(0,'Start Here'!$B$10-SUM($AJ287:$AS287)-SUMPRODUCT(($Z$3:$AI$3&lt;AI$3)*($Z287:$AI287-$AJ287:$AS287))))</f>
        <v>0</v>
      </c>
      <c r="P287" s="42" t="n">
        <f aca="false">ROUND(Z287-F287,2)</f>
        <v>0</v>
      </c>
      <c r="Q287" s="42" t="n">
        <f aca="false">ROUND(AA287-G287,2)</f>
        <v>0</v>
      </c>
      <c r="R287" s="42" t="n">
        <f aca="false">ROUND(AB287-H287,2)</f>
        <v>0</v>
      </c>
      <c r="S287" s="42" t="n">
        <f aca="false">ROUND(AC287-I287,2)</f>
        <v>0</v>
      </c>
      <c r="T287" s="42" t="n">
        <f aca="false">ROUND(AD287-J287,2)</f>
        <v>0</v>
      </c>
      <c r="U287" s="42" t="n">
        <f aca="false">ROUND(AE287-K287,2)</f>
        <v>0</v>
      </c>
      <c r="V287" s="42" t="n">
        <f aca="false">ROUND(AF287-L287,2)</f>
        <v>0</v>
      </c>
      <c r="W287" s="42" t="n">
        <f aca="false">ROUND(AG287-M287,2)</f>
        <v>0</v>
      </c>
      <c r="X287" s="42" t="n">
        <f aca="false">ROUND(AH287-N287,2)</f>
        <v>0</v>
      </c>
      <c r="Y287" s="42" t="n">
        <f aca="false">ROUND(AI287-O287,2)</f>
        <v>0</v>
      </c>
      <c r="Z287" s="56" t="n">
        <f aca="false">ROUND(P286*(1+N(Debts!$D$5)/12),2)</f>
        <v>0</v>
      </c>
      <c r="AA287" s="56" t="n">
        <f aca="false">ROUND(Q286*(1+N(Debts!$D$6)/12),2)</f>
        <v>0</v>
      </c>
      <c r="AB287" s="56" t="n">
        <f aca="false">ROUND(R286*(1+N(Debts!$D$7)/12),2)</f>
        <v>0</v>
      </c>
      <c r="AC287" s="56" t="n">
        <f aca="false">ROUND(S286*(1+N(Debts!$D$8)/12),2)</f>
        <v>0</v>
      </c>
      <c r="AD287" s="56" t="n">
        <f aca="false">ROUND(T286*(1+N(Debts!$D$9)/12),2)</f>
        <v>0</v>
      </c>
      <c r="AE287" s="56" t="n">
        <f aca="false">ROUND(U286*(1+N(Debts!$D$10)/12),2)</f>
        <v>0</v>
      </c>
      <c r="AF287" s="56" t="n">
        <f aca="false">ROUND(V286*(1+N(Debts!$D$11)/12),2)</f>
        <v>0</v>
      </c>
      <c r="AG287" s="56" t="n">
        <f aca="false">ROUND(W286*(1+N(Debts!$D$12)/12),2)</f>
        <v>0</v>
      </c>
      <c r="AH287" s="56" t="n">
        <f aca="false">ROUND(X286*(1+N(Debts!$D$13)/12),2)</f>
        <v>0</v>
      </c>
      <c r="AI287" s="56" t="n">
        <f aca="false">ROUND(Y286*(1+N(Debts!$D$14)/12),2)</f>
        <v>0</v>
      </c>
      <c r="AJ287" s="56" t="n">
        <f aca="false">MIN(Z287,MAX(0,N(Debts!$E$5)))</f>
        <v>0</v>
      </c>
      <c r="AK287" s="56" t="n">
        <f aca="false">MIN(AA287,MAX(0,N(Debts!$E$6)))</f>
        <v>0</v>
      </c>
      <c r="AL287" s="56" t="n">
        <f aca="false">MIN(AB287,MAX(0,N(Debts!$E$7)))</f>
        <v>0</v>
      </c>
      <c r="AM287" s="56" t="n">
        <f aca="false">MIN(AC287,MAX(0,N(Debts!$E$8)))</f>
        <v>0</v>
      </c>
      <c r="AN287" s="56" t="n">
        <f aca="false">MIN(AD287,MAX(0,N(Debts!$E$9)))</f>
        <v>0</v>
      </c>
      <c r="AO287" s="56" t="n">
        <f aca="false">MIN(AE287,MAX(0,N(Debts!$E$10)))</f>
        <v>0</v>
      </c>
      <c r="AP287" s="56" t="n">
        <f aca="false">MIN(AF287,MAX(0,N(Debts!$E$11)))</f>
        <v>0</v>
      </c>
      <c r="AQ287" s="56" t="n">
        <f aca="false">MIN(AG287,MAX(0,N(Debts!$E$12)))</f>
        <v>0</v>
      </c>
      <c r="AR287" s="56" t="n">
        <f aca="false">MIN(AH287,MAX(0,N(Debts!$E$13)))</f>
        <v>0</v>
      </c>
      <c r="AS287" s="56" t="n">
        <f aca="false">MIN(AI287,MAX(0,N(Debts!$E$14)))</f>
        <v>0</v>
      </c>
    </row>
    <row r="288" customFormat="false" ht="15" hidden="false" customHeight="false" outlineLevel="0" collapsed="false">
      <c r="A288" s="53" t="n">
        <v>284</v>
      </c>
      <c r="B288" s="54" t="n">
        <f aca="false">EDATE('Start Here'!$B$8,283)</f>
        <v>54940</v>
      </c>
      <c r="C288" s="42" t="n">
        <f aca="false">SUM(F288:O288)</f>
        <v>0</v>
      </c>
      <c r="D288" s="42" t="n">
        <f aca="false">ROUND(SUM($Z288:$AI288)-SUM(P287:Y287),2)</f>
        <v>0</v>
      </c>
      <c r="E288" s="55" t="n">
        <f aca="false">SUM(P288:Y288)</f>
        <v>0</v>
      </c>
      <c r="F288" s="42" t="n">
        <f aca="false">AJ288+MIN(Z288-AJ288,MAX(0,'Start Here'!$B$10-SUM($AJ288:$AS288)-SUMPRODUCT(($Z$3:$AI$3&lt;Z$3)*($Z288:$AI288-$AJ288:$AS288))))</f>
        <v>0</v>
      </c>
      <c r="G288" s="42" t="n">
        <f aca="false">AK288+MIN(AA288-AK288,MAX(0,'Start Here'!$B$10-SUM($AJ288:$AS288)-SUMPRODUCT(($Z$3:$AI$3&lt;AA$3)*($Z288:$AI288-$AJ288:$AS288))))</f>
        <v>0</v>
      </c>
      <c r="H288" s="42" t="n">
        <f aca="false">AL288+MIN(AB288-AL288,MAX(0,'Start Here'!$B$10-SUM($AJ288:$AS288)-SUMPRODUCT(($Z$3:$AI$3&lt;AB$3)*($Z288:$AI288-$AJ288:$AS288))))</f>
        <v>0</v>
      </c>
      <c r="I288" s="42" t="n">
        <f aca="false">AM288+MIN(AC288-AM288,MAX(0,'Start Here'!$B$10-SUM($AJ288:$AS288)-SUMPRODUCT(($Z$3:$AI$3&lt;AC$3)*($Z288:$AI288-$AJ288:$AS288))))</f>
        <v>0</v>
      </c>
      <c r="J288" s="42" t="n">
        <f aca="false">AN288+MIN(AD288-AN288,MAX(0,'Start Here'!$B$10-SUM($AJ288:$AS288)-SUMPRODUCT(($Z$3:$AI$3&lt;AD$3)*($Z288:$AI288-$AJ288:$AS288))))</f>
        <v>0</v>
      </c>
      <c r="K288" s="42" t="n">
        <f aca="false">AO288+MIN(AE288-AO288,MAX(0,'Start Here'!$B$10-SUM($AJ288:$AS288)-SUMPRODUCT(($Z$3:$AI$3&lt;AE$3)*($Z288:$AI288-$AJ288:$AS288))))</f>
        <v>0</v>
      </c>
      <c r="L288" s="42" t="n">
        <f aca="false">AP288+MIN(AF288-AP288,MAX(0,'Start Here'!$B$10-SUM($AJ288:$AS288)-SUMPRODUCT(($Z$3:$AI$3&lt;AF$3)*($Z288:$AI288-$AJ288:$AS288))))</f>
        <v>0</v>
      </c>
      <c r="M288" s="42" t="n">
        <f aca="false">AQ288+MIN(AG288-AQ288,MAX(0,'Start Here'!$B$10-SUM($AJ288:$AS288)-SUMPRODUCT(($Z$3:$AI$3&lt;AG$3)*($Z288:$AI288-$AJ288:$AS288))))</f>
        <v>0</v>
      </c>
      <c r="N288" s="42" t="n">
        <f aca="false">AR288+MIN(AH288-AR288,MAX(0,'Start Here'!$B$10-SUM($AJ288:$AS288)-SUMPRODUCT(($Z$3:$AI$3&lt;AH$3)*($Z288:$AI288-$AJ288:$AS288))))</f>
        <v>0</v>
      </c>
      <c r="O288" s="42" t="n">
        <f aca="false">AS288+MIN(AI288-AS288,MAX(0,'Start Here'!$B$10-SUM($AJ288:$AS288)-SUMPRODUCT(($Z$3:$AI$3&lt;AI$3)*($Z288:$AI288-$AJ288:$AS288))))</f>
        <v>0</v>
      </c>
      <c r="P288" s="42" t="n">
        <f aca="false">ROUND(Z288-F288,2)</f>
        <v>0</v>
      </c>
      <c r="Q288" s="42" t="n">
        <f aca="false">ROUND(AA288-G288,2)</f>
        <v>0</v>
      </c>
      <c r="R288" s="42" t="n">
        <f aca="false">ROUND(AB288-H288,2)</f>
        <v>0</v>
      </c>
      <c r="S288" s="42" t="n">
        <f aca="false">ROUND(AC288-I288,2)</f>
        <v>0</v>
      </c>
      <c r="T288" s="42" t="n">
        <f aca="false">ROUND(AD288-J288,2)</f>
        <v>0</v>
      </c>
      <c r="U288" s="42" t="n">
        <f aca="false">ROUND(AE288-K288,2)</f>
        <v>0</v>
      </c>
      <c r="V288" s="42" t="n">
        <f aca="false">ROUND(AF288-L288,2)</f>
        <v>0</v>
      </c>
      <c r="W288" s="42" t="n">
        <f aca="false">ROUND(AG288-M288,2)</f>
        <v>0</v>
      </c>
      <c r="X288" s="42" t="n">
        <f aca="false">ROUND(AH288-N288,2)</f>
        <v>0</v>
      </c>
      <c r="Y288" s="42" t="n">
        <f aca="false">ROUND(AI288-O288,2)</f>
        <v>0</v>
      </c>
      <c r="Z288" s="56" t="n">
        <f aca="false">ROUND(P287*(1+N(Debts!$D$5)/12),2)</f>
        <v>0</v>
      </c>
      <c r="AA288" s="56" t="n">
        <f aca="false">ROUND(Q287*(1+N(Debts!$D$6)/12),2)</f>
        <v>0</v>
      </c>
      <c r="AB288" s="56" t="n">
        <f aca="false">ROUND(R287*(1+N(Debts!$D$7)/12),2)</f>
        <v>0</v>
      </c>
      <c r="AC288" s="56" t="n">
        <f aca="false">ROUND(S287*(1+N(Debts!$D$8)/12),2)</f>
        <v>0</v>
      </c>
      <c r="AD288" s="56" t="n">
        <f aca="false">ROUND(T287*(1+N(Debts!$D$9)/12),2)</f>
        <v>0</v>
      </c>
      <c r="AE288" s="56" t="n">
        <f aca="false">ROUND(U287*(1+N(Debts!$D$10)/12),2)</f>
        <v>0</v>
      </c>
      <c r="AF288" s="56" t="n">
        <f aca="false">ROUND(V287*(1+N(Debts!$D$11)/12),2)</f>
        <v>0</v>
      </c>
      <c r="AG288" s="56" t="n">
        <f aca="false">ROUND(W287*(1+N(Debts!$D$12)/12),2)</f>
        <v>0</v>
      </c>
      <c r="AH288" s="56" t="n">
        <f aca="false">ROUND(X287*(1+N(Debts!$D$13)/12),2)</f>
        <v>0</v>
      </c>
      <c r="AI288" s="56" t="n">
        <f aca="false">ROUND(Y287*(1+N(Debts!$D$14)/12),2)</f>
        <v>0</v>
      </c>
      <c r="AJ288" s="56" t="n">
        <f aca="false">MIN(Z288,MAX(0,N(Debts!$E$5)))</f>
        <v>0</v>
      </c>
      <c r="AK288" s="56" t="n">
        <f aca="false">MIN(AA288,MAX(0,N(Debts!$E$6)))</f>
        <v>0</v>
      </c>
      <c r="AL288" s="56" t="n">
        <f aca="false">MIN(AB288,MAX(0,N(Debts!$E$7)))</f>
        <v>0</v>
      </c>
      <c r="AM288" s="56" t="n">
        <f aca="false">MIN(AC288,MAX(0,N(Debts!$E$8)))</f>
        <v>0</v>
      </c>
      <c r="AN288" s="56" t="n">
        <f aca="false">MIN(AD288,MAX(0,N(Debts!$E$9)))</f>
        <v>0</v>
      </c>
      <c r="AO288" s="56" t="n">
        <f aca="false">MIN(AE288,MAX(0,N(Debts!$E$10)))</f>
        <v>0</v>
      </c>
      <c r="AP288" s="56" t="n">
        <f aca="false">MIN(AF288,MAX(0,N(Debts!$E$11)))</f>
        <v>0</v>
      </c>
      <c r="AQ288" s="56" t="n">
        <f aca="false">MIN(AG288,MAX(0,N(Debts!$E$12)))</f>
        <v>0</v>
      </c>
      <c r="AR288" s="56" t="n">
        <f aca="false">MIN(AH288,MAX(0,N(Debts!$E$13)))</f>
        <v>0</v>
      </c>
      <c r="AS288" s="56" t="n">
        <f aca="false">MIN(AI288,MAX(0,N(Debts!$E$14)))</f>
        <v>0</v>
      </c>
    </row>
    <row r="289" customFormat="false" ht="15" hidden="false" customHeight="false" outlineLevel="0" collapsed="false">
      <c r="A289" s="53" t="n">
        <v>285</v>
      </c>
      <c r="B289" s="54" t="n">
        <f aca="false">EDATE('Start Here'!$B$8,284)</f>
        <v>54970</v>
      </c>
      <c r="C289" s="42" t="n">
        <f aca="false">SUM(F289:O289)</f>
        <v>0</v>
      </c>
      <c r="D289" s="42" t="n">
        <f aca="false">ROUND(SUM($Z289:$AI289)-SUM(P288:Y288),2)</f>
        <v>0</v>
      </c>
      <c r="E289" s="55" t="n">
        <f aca="false">SUM(P289:Y289)</f>
        <v>0</v>
      </c>
      <c r="F289" s="42" t="n">
        <f aca="false">AJ289+MIN(Z289-AJ289,MAX(0,'Start Here'!$B$10-SUM($AJ289:$AS289)-SUMPRODUCT(($Z$3:$AI$3&lt;Z$3)*($Z289:$AI289-$AJ289:$AS289))))</f>
        <v>0</v>
      </c>
      <c r="G289" s="42" t="n">
        <f aca="false">AK289+MIN(AA289-AK289,MAX(0,'Start Here'!$B$10-SUM($AJ289:$AS289)-SUMPRODUCT(($Z$3:$AI$3&lt;AA$3)*($Z289:$AI289-$AJ289:$AS289))))</f>
        <v>0</v>
      </c>
      <c r="H289" s="42" t="n">
        <f aca="false">AL289+MIN(AB289-AL289,MAX(0,'Start Here'!$B$10-SUM($AJ289:$AS289)-SUMPRODUCT(($Z$3:$AI$3&lt;AB$3)*($Z289:$AI289-$AJ289:$AS289))))</f>
        <v>0</v>
      </c>
      <c r="I289" s="42" t="n">
        <f aca="false">AM289+MIN(AC289-AM289,MAX(0,'Start Here'!$B$10-SUM($AJ289:$AS289)-SUMPRODUCT(($Z$3:$AI$3&lt;AC$3)*($Z289:$AI289-$AJ289:$AS289))))</f>
        <v>0</v>
      </c>
      <c r="J289" s="42" t="n">
        <f aca="false">AN289+MIN(AD289-AN289,MAX(0,'Start Here'!$B$10-SUM($AJ289:$AS289)-SUMPRODUCT(($Z$3:$AI$3&lt;AD$3)*($Z289:$AI289-$AJ289:$AS289))))</f>
        <v>0</v>
      </c>
      <c r="K289" s="42" t="n">
        <f aca="false">AO289+MIN(AE289-AO289,MAX(0,'Start Here'!$B$10-SUM($AJ289:$AS289)-SUMPRODUCT(($Z$3:$AI$3&lt;AE$3)*($Z289:$AI289-$AJ289:$AS289))))</f>
        <v>0</v>
      </c>
      <c r="L289" s="42" t="n">
        <f aca="false">AP289+MIN(AF289-AP289,MAX(0,'Start Here'!$B$10-SUM($AJ289:$AS289)-SUMPRODUCT(($Z$3:$AI$3&lt;AF$3)*($Z289:$AI289-$AJ289:$AS289))))</f>
        <v>0</v>
      </c>
      <c r="M289" s="42" t="n">
        <f aca="false">AQ289+MIN(AG289-AQ289,MAX(0,'Start Here'!$B$10-SUM($AJ289:$AS289)-SUMPRODUCT(($Z$3:$AI$3&lt;AG$3)*($Z289:$AI289-$AJ289:$AS289))))</f>
        <v>0</v>
      </c>
      <c r="N289" s="42" t="n">
        <f aca="false">AR289+MIN(AH289-AR289,MAX(0,'Start Here'!$B$10-SUM($AJ289:$AS289)-SUMPRODUCT(($Z$3:$AI$3&lt;AH$3)*($Z289:$AI289-$AJ289:$AS289))))</f>
        <v>0</v>
      </c>
      <c r="O289" s="42" t="n">
        <f aca="false">AS289+MIN(AI289-AS289,MAX(0,'Start Here'!$B$10-SUM($AJ289:$AS289)-SUMPRODUCT(($Z$3:$AI$3&lt;AI$3)*($Z289:$AI289-$AJ289:$AS289))))</f>
        <v>0</v>
      </c>
      <c r="P289" s="42" t="n">
        <f aca="false">ROUND(Z289-F289,2)</f>
        <v>0</v>
      </c>
      <c r="Q289" s="42" t="n">
        <f aca="false">ROUND(AA289-G289,2)</f>
        <v>0</v>
      </c>
      <c r="R289" s="42" t="n">
        <f aca="false">ROUND(AB289-H289,2)</f>
        <v>0</v>
      </c>
      <c r="S289" s="42" t="n">
        <f aca="false">ROUND(AC289-I289,2)</f>
        <v>0</v>
      </c>
      <c r="T289" s="42" t="n">
        <f aca="false">ROUND(AD289-J289,2)</f>
        <v>0</v>
      </c>
      <c r="U289" s="42" t="n">
        <f aca="false">ROUND(AE289-K289,2)</f>
        <v>0</v>
      </c>
      <c r="V289" s="42" t="n">
        <f aca="false">ROUND(AF289-L289,2)</f>
        <v>0</v>
      </c>
      <c r="W289" s="42" t="n">
        <f aca="false">ROUND(AG289-M289,2)</f>
        <v>0</v>
      </c>
      <c r="X289" s="42" t="n">
        <f aca="false">ROUND(AH289-N289,2)</f>
        <v>0</v>
      </c>
      <c r="Y289" s="42" t="n">
        <f aca="false">ROUND(AI289-O289,2)</f>
        <v>0</v>
      </c>
      <c r="Z289" s="56" t="n">
        <f aca="false">ROUND(P288*(1+N(Debts!$D$5)/12),2)</f>
        <v>0</v>
      </c>
      <c r="AA289" s="56" t="n">
        <f aca="false">ROUND(Q288*(1+N(Debts!$D$6)/12),2)</f>
        <v>0</v>
      </c>
      <c r="AB289" s="56" t="n">
        <f aca="false">ROUND(R288*(1+N(Debts!$D$7)/12),2)</f>
        <v>0</v>
      </c>
      <c r="AC289" s="56" t="n">
        <f aca="false">ROUND(S288*(1+N(Debts!$D$8)/12),2)</f>
        <v>0</v>
      </c>
      <c r="AD289" s="56" t="n">
        <f aca="false">ROUND(T288*(1+N(Debts!$D$9)/12),2)</f>
        <v>0</v>
      </c>
      <c r="AE289" s="56" t="n">
        <f aca="false">ROUND(U288*(1+N(Debts!$D$10)/12),2)</f>
        <v>0</v>
      </c>
      <c r="AF289" s="56" t="n">
        <f aca="false">ROUND(V288*(1+N(Debts!$D$11)/12),2)</f>
        <v>0</v>
      </c>
      <c r="AG289" s="56" t="n">
        <f aca="false">ROUND(W288*(1+N(Debts!$D$12)/12),2)</f>
        <v>0</v>
      </c>
      <c r="AH289" s="56" t="n">
        <f aca="false">ROUND(X288*(1+N(Debts!$D$13)/12),2)</f>
        <v>0</v>
      </c>
      <c r="AI289" s="56" t="n">
        <f aca="false">ROUND(Y288*(1+N(Debts!$D$14)/12),2)</f>
        <v>0</v>
      </c>
      <c r="AJ289" s="56" t="n">
        <f aca="false">MIN(Z289,MAX(0,N(Debts!$E$5)))</f>
        <v>0</v>
      </c>
      <c r="AK289" s="56" t="n">
        <f aca="false">MIN(AA289,MAX(0,N(Debts!$E$6)))</f>
        <v>0</v>
      </c>
      <c r="AL289" s="56" t="n">
        <f aca="false">MIN(AB289,MAX(0,N(Debts!$E$7)))</f>
        <v>0</v>
      </c>
      <c r="AM289" s="56" t="n">
        <f aca="false">MIN(AC289,MAX(0,N(Debts!$E$8)))</f>
        <v>0</v>
      </c>
      <c r="AN289" s="56" t="n">
        <f aca="false">MIN(AD289,MAX(0,N(Debts!$E$9)))</f>
        <v>0</v>
      </c>
      <c r="AO289" s="56" t="n">
        <f aca="false">MIN(AE289,MAX(0,N(Debts!$E$10)))</f>
        <v>0</v>
      </c>
      <c r="AP289" s="56" t="n">
        <f aca="false">MIN(AF289,MAX(0,N(Debts!$E$11)))</f>
        <v>0</v>
      </c>
      <c r="AQ289" s="56" t="n">
        <f aca="false">MIN(AG289,MAX(0,N(Debts!$E$12)))</f>
        <v>0</v>
      </c>
      <c r="AR289" s="56" t="n">
        <f aca="false">MIN(AH289,MAX(0,N(Debts!$E$13)))</f>
        <v>0</v>
      </c>
      <c r="AS289" s="56" t="n">
        <f aca="false">MIN(AI289,MAX(0,N(Debts!$E$14)))</f>
        <v>0</v>
      </c>
    </row>
    <row r="290" customFormat="false" ht="15" hidden="false" customHeight="false" outlineLevel="0" collapsed="false">
      <c r="A290" s="53" t="n">
        <v>286</v>
      </c>
      <c r="B290" s="54" t="n">
        <f aca="false">EDATE('Start Here'!$B$8,285)</f>
        <v>55001</v>
      </c>
      <c r="C290" s="42" t="n">
        <f aca="false">SUM(F290:O290)</f>
        <v>0</v>
      </c>
      <c r="D290" s="42" t="n">
        <f aca="false">ROUND(SUM($Z290:$AI290)-SUM(P289:Y289),2)</f>
        <v>0</v>
      </c>
      <c r="E290" s="55" t="n">
        <f aca="false">SUM(P290:Y290)</f>
        <v>0</v>
      </c>
      <c r="F290" s="42" t="n">
        <f aca="false">AJ290+MIN(Z290-AJ290,MAX(0,'Start Here'!$B$10-SUM($AJ290:$AS290)-SUMPRODUCT(($Z$3:$AI$3&lt;Z$3)*($Z290:$AI290-$AJ290:$AS290))))</f>
        <v>0</v>
      </c>
      <c r="G290" s="42" t="n">
        <f aca="false">AK290+MIN(AA290-AK290,MAX(0,'Start Here'!$B$10-SUM($AJ290:$AS290)-SUMPRODUCT(($Z$3:$AI$3&lt;AA$3)*($Z290:$AI290-$AJ290:$AS290))))</f>
        <v>0</v>
      </c>
      <c r="H290" s="42" t="n">
        <f aca="false">AL290+MIN(AB290-AL290,MAX(0,'Start Here'!$B$10-SUM($AJ290:$AS290)-SUMPRODUCT(($Z$3:$AI$3&lt;AB$3)*($Z290:$AI290-$AJ290:$AS290))))</f>
        <v>0</v>
      </c>
      <c r="I290" s="42" t="n">
        <f aca="false">AM290+MIN(AC290-AM290,MAX(0,'Start Here'!$B$10-SUM($AJ290:$AS290)-SUMPRODUCT(($Z$3:$AI$3&lt;AC$3)*($Z290:$AI290-$AJ290:$AS290))))</f>
        <v>0</v>
      </c>
      <c r="J290" s="42" t="n">
        <f aca="false">AN290+MIN(AD290-AN290,MAX(0,'Start Here'!$B$10-SUM($AJ290:$AS290)-SUMPRODUCT(($Z$3:$AI$3&lt;AD$3)*($Z290:$AI290-$AJ290:$AS290))))</f>
        <v>0</v>
      </c>
      <c r="K290" s="42" t="n">
        <f aca="false">AO290+MIN(AE290-AO290,MAX(0,'Start Here'!$B$10-SUM($AJ290:$AS290)-SUMPRODUCT(($Z$3:$AI$3&lt;AE$3)*($Z290:$AI290-$AJ290:$AS290))))</f>
        <v>0</v>
      </c>
      <c r="L290" s="42" t="n">
        <f aca="false">AP290+MIN(AF290-AP290,MAX(0,'Start Here'!$B$10-SUM($AJ290:$AS290)-SUMPRODUCT(($Z$3:$AI$3&lt;AF$3)*($Z290:$AI290-$AJ290:$AS290))))</f>
        <v>0</v>
      </c>
      <c r="M290" s="42" t="n">
        <f aca="false">AQ290+MIN(AG290-AQ290,MAX(0,'Start Here'!$B$10-SUM($AJ290:$AS290)-SUMPRODUCT(($Z$3:$AI$3&lt;AG$3)*($Z290:$AI290-$AJ290:$AS290))))</f>
        <v>0</v>
      </c>
      <c r="N290" s="42" t="n">
        <f aca="false">AR290+MIN(AH290-AR290,MAX(0,'Start Here'!$B$10-SUM($AJ290:$AS290)-SUMPRODUCT(($Z$3:$AI$3&lt;AH$3)*($Z290:$AI290-$AJ290:$AS290))))</f>
        <v>0</v>
      </c>
      <c r="O290" s="42" t="n">
        <f aca="false">AS290+MIN(AI290-AS290,MAX(0,'Start Here'!$B$10-SUM($AJ290:$AS290)-SUMPRODUCT(($Z$3:$AI$3&lt;AI$3)*($Z290:$AI290-$AJ290:$AS290))))</f>
        <v>0</v>
      </c>
      <c r="P290" s="42" t="n">
        <f aca="false">ROUND(Z290-F290,2)</f>
        <v>0</v>
      </c>
      <c r="Q290" s="42" t="n">
        <f aca="false">ROUND(AA290-G290,2)</f>
        <v>0</v>
      </c>
      <c r="R290" s="42" t="n">
        <f aca="false">ROUND(AB290-H290,2)</f>
        <v>0</v>
      </c>
      <c r="S290" s="42" t="n">
        <f aca="false">ROUND(AC290-I290,2)</f>
        <v>0</v>
      </c>
      <c r="T290" s="42" t="n">
        <f aca="false">ROUND(AD290-J290,2)</f>
        <v>0</v>
      </c>
      <c r="U290" s="42" t="n">
        <f aca="false">ROUND(AE290-K290,2)</f>
        <v>0</v>
      </c>
      <c r="V290" s="42" t="n">
        <f aca="false">ROUND(AF290-L290,2)</f>
        <v>0</v>
      </c>
      <c r="W290" s="42" t="n">
        <f aca="false">ROUND(AG290-M290,2)</f>
        <v>0</v>
      </c>
      <c r="X290" s="42" t="n">
        <f aca="false">ROUND(AH290-N290,2)</f>
        <v>0</v>
      </c>
      <c r="Y290" s="42" t="n">
        <f aca="false">ROUND(AI290-O290,2)</f>
        <v>0</v>
      </c>
      <c r="Z290" s="56" t="n">
        <f aca="false">ROUND(P289*(1+N(Debts!$D$5)/12),2)</f>
        <v>0</v>
      </c>
      <c r="AA290" s="56" t="n">
        <f aca="false">ROUND(Q289*(1+N(Debts!$D$6)/12),2)</f>
        <v>0</v>
      </c>
      <c r="AB290" s="56" t="n">
        <f aca="false">ROUND(R289*(1+N(Debts!$D$7)/12),2)</f>
        <v>0</v>
      </c>
      <c r="AC290" s="56" t="n">
        <f aca="false">ROUND(S289*(1+N(Debts!$D$8)/12),2)</f>
        <v>0</v>
      </c>
      <c r="AD290" s="56" t="n">
        <f aca="false">ROUND(T289*(1+N(Debts!$D$9)/12),2)</f>
        <v>0</v>
      </c>
      <c r="AE290" s="56" t="n">
        <f aca="false">ROUND(U289*(1+N(Debts!$D$10)/12),2)</f>
        <v>0</v>
      </c>
      <c r="AF290" s="56" t="n">
        <f aca="false">ROUND(V289*(1+N(Debts!$D$11)/12),2)</f>
        <v>0</v>
      </c>
      <c r="AG290" s="56" t="n">
        <f aca="false">ROUND(W289*(1+N(Debts!$D$12)/12),2)</f>
        <v>0</v>
      </c>
      <c r="AH290" s="56" t="n">
        <f aca="false">ROUND(X289*(1+N(Debts!$D$13)/12),2)</f>
        <v>0</v>
      </c>
      <c r="AI290" s="56" t="n">
        <f aca="false">ROUND(Y289*(1+N(Debts!$D$14)/12),2)</f>
        <v>0</v>
      </c>
      <c r="AJ290" s="56" t="n">
        <f aca="false">MIN(Z290,MAX(0,N(Debts!$E$5)))</f>
        <v>0</v>
      </c>
      <c r="AK290" s="56" t="n">
        <f aca="false">MIN(AA290,MAX(0,N(Debts!$E$6)))</f>
        <v>0</v>
      </c>
      <c r="AL290" s="56" t="n">
        <f aca="false">MIN(AB290,MAX(0,N(Debts!$E$7)))</f>
        <v>0</v>
      </c>
      <c r="AM290" s="56" t="n">
        <f aca="false">MIN(AC290,MAX(0,N(Debts!$E$8)))</f>
        <v>0</v>
      </c>
      <c r="AN290" s="56" t="n">
        <f aca="false">MIN(AD290,MAX(0,N(Debts!$E$9)))</f>
        <v>0</v>
      </c>
      <c r="AO290" s="56" t="n">
        <f aca="false">MIN(AE290,MAX(0,N(Debts!$E$10)))</f>
        <v>0</v>
      </c>
      <c r="AP290" s="56" t="n">
        <f aca="false">MIN(AF290,MAX(0,N(Debts!$E$11)))</f>
        <v>0</v>
      </c>
      <c r="AQ290" s="56" t="n">
        <f aca="false">MIN(AG290,MAX(0,N(Debts!$E$12)))</f>
        <v>0</v>
      </c>
      <c r="AR290" s="56" t="n">
        <f aca="false">MIN(AH290,MAX(0,N(Debts!$E$13)))</f>
        <v>0</v>
      </c>
      <c r="AS290" s="56" t="n">
        <f aca="false">MIN(AI290,MAX(0,N(Debts!$E$14)))</f>
        <v>0</v>
      </c>
    </row>
    <row r="291" customFormat="false" ht="15" hidden="false" customHeight="false" outlineLevel="0" collapsed="false">
      <c r="A291" s="53" t="n">
        <v>287</v>
      </c>
      <c r="B291" s="54" t="n">
        <f aca="false">EDATE('Start Here'!$B$8,286)</f>
        <v>55032</v>
      </c>
      <c r="C291" s="42" t="n">
        <f aca="false">SUM(F291:O291)</f>
        <v>0</v>
      </c>
      <c r="D291" s="42" t="n">
        <f aca="false">ROUND(SUM($Z291:$AI291)-SUM(P290:Y290),2)</f>
        <v>0</v>
      </c>
      <c r="E291" s="55" t="n">
        <f aca="false">SUM(P291:Y291)</f>
        <v>0</v>
      </c>
      <c r="F291" s="42" t="n">
        <f aca="false">AJ291+MIN(Z291-AJ291,MAX(0,'Start Here'!$B$10-SUM($AJ291:$AS291)-SUMPRODUCT(($Z$3:$AI$3&lt;Z$3)*($Z291:$AI291-$AJ291:$AS291))))</f>
        <v>0</v>
      </c>
      <c r="G291" s="42" t="n">
        <f aca="false">AK291+MIN(AA291-AK291,MAX(0,'Start Here'!$B$10-SUM($AJ291:$AS291)-SUMPRODUCT(($Z$3:$AI$3&lt;AA$3)*($Z291:$AI291-$AJ291:$AS291))))</f>
        <v>0</v>
      </c>
      <c r="H291" s="42" t="n">
        <f aca="false">AL291+MIN(AB291-AL291,MAX(0,'Start Here'!$B$10-SUM($AJ291:$AS291)-SUMPRODUCT(($Z$3:$AI$3&lt;AB$3)*($Z291:$AI291-$AJ291:$AS291))))</f>
        <v>0</v>
      </c>
      <c r="I291" s="42" t="n">
        <f aca="false">AM291+MIN(AC291-AM291,MAX(0,'Start Here'!$B$10-SUM($AJ291:$AS291)-SUMPRODUCT(($Z$3:$AI$3&lt;AC$3)*($Z291:$AI291-$AJ291:$AS291))))</f>
        <v>0</v>
      </c>
      <c r="J291" s="42" t="n">
        <f aca="false">AN291+MIN(AD291-AN291,MAX(0,'Start Here'!$B$10-SUM($AJ291:$AS291)-SUMPRODUCT(($Z$3:$AI$3&lt;AD$3)*($Z291:$AI291-$AJ291:$AS291))))</f>
        <v>0</v>
      </c>
      <c r="K291" s="42" t="n">
        <f aca="false">AO291+MIN(AE291-AO291,MAX(0,'Start Here'!$B$10-SUM($AJ291:$AS291)-SUMPRODUCT(($Z$3:$AI$3&lt;AE$3)*($Z291:$AI291-$AJ291:$AS291))))</f>
        <v>0</v>
      </c>
      <c r="L291" s="42" t="n">
        <f aca="false">AP291+MIN(AF291-AP291,MAX(0,'Start Here'!$B$10-SUM($AJ291:$AS291)-SUMPRODUCT(($Z$3:$AI$3&lt;AF$3)*($Z291:$AI291-$AJ291:$AS291))))</f>
        <v>0</v>
      </c>
      <c r="M291" s="42" t="n">
        <f aca="false">AQ291+MIN(AG291-AQ291,MAX(0,'Start Here'!$B$10-SUM($AJ291:$AS291)-SUMPRODUCT(($Z$3:$AI$3&lt;AG$3)*($Z291:$AI291-$AJ291:$AS291))))</f>
        <v>0</v>
      </c>
      <c r="N291" s="42" t="n">
        <f aca="false">AR291+MIN(AH291-AR291,MAX(0,'Start Here'!$B$10-SUM($AJ291:$AS291)-SUMPRODUCT(($Z$3:$AI$3&lt;AH$3)*($Z291:$AI291-$AJ291:$AS291))))</f>
        <v>0</v>
      </c>
      <c r="O291" s="42" t="n">
        <f aca="false">AS291+MIN(AI291-AS291,MAX(0,'Start Here'!$B$10-SUM($AJ291:$AS291)-SUMPRODUCT(($Z$3:$AI$3&lt;AI$3)*($Z291:$AI291-$AJ291:$AS291))))</f>
        <v>0</v>
      </c>
      <c r="P291" s="42" t="n">
        <f aca="false">ROUND(Z291-F291,2)</f>
        <v>0</v>
      </c>
      <c r="Q291" s="42" t="n">
        <f aca="false">ROUND(AA291-G291,2)</f>
        <v>0</v>
      </c>
      <c r="R291" s="42" t="n">
        <f aca="false">ROUND(AB291-H291,2)</f>
        <v>0</v>
      </c>
      <c r="S291" s="42" t="n">
        <f aca="false">ROUND(AC291-I291,2)</f>
        <v>0</v>
      </c>
      <c r="T291" s="42" t="n">
        <f aca="false">ROUND(AD291-J291,2)</f>
        <v>0</v>
      </c>
      <c r="U291" s="42" t="n">
        <f aca="false">ROUND(AE291-K291,2)</f>
        <v>0</v>
      </c>
      <c r="V291" s="42" t="n">
        <f aca="false">ROUND(AF291-L291,2)</f>
        <v>0</v>
      </c>
      <c r="W291" s="42" t="n">
        <f aca="false">ROUND(AG291-M291,2)</f>
        <v>0</v>
      </c>
      <c r="X291" s="42" t="n">
        <f aca="false">ROUND(AH291-N291,2)</f>
        <v>0</v>
      </c>
      <c r="Y291" s="42" t="n">
        <f aca="false">ROUND(AI291-O291,2)</f>
        <v>0</v>
      </c>
      <c r="Z291" s="56" t="n">
        <f aca="false">ROUND(P290*(1+N(Debts!$D$5)/12),2)</f>
        <v>0</v>
      </c>
      <c r="AA291" s="56" t="n">
        <f aca="false">ROUND(Q290*(1+N(Debts!$D$6)/12),2)</f>
        <v>0</v>
      </c>
      <c r="AB291" s="56" t="n">
        <f aca="false">ROUND(R290*(1+N(Debts!$D$7)/12),2)</f>
        <v>0</v>
      </c>
      <c r="AC291" s="56" t="n">
        <f aca="false">ROUND(S290*(1+N(Debts!$D$8)/12),2)</f>
        <v>0</v>
      </c>
      <c r="AD291" s="56" t="n">
        <f aca="false">ROUND(T290*(1+N(Debts!$D$9)/12),2)</f>
        <v>0</v>
      </c>
      <c r="AE291" s="56" t="n">
        <f aca="false">ROUND(U290*(1+N(Debts!$D$10)/12),2)</f>
        <v>0</v>
      </c>
      <c r="AF291" s="56" t="n">
        <f aca="false">ROUND(V290*(1+N(Debts!$D$11)/12),2)</f>
        <v>0</v>
      </c>
      <c r="AG291" s="56" t="n">
        <f aca="false">ROUND(W290*(1+N(Debts!$D$12)/12),2)</f>
        <v>0</v>
      </c>
      <c r="AH291" s="56" t="n">
        <f aca="false">ROUND(X290*(1+N(Debts!$D$13)/12),2)</f>
        <v>0</v>
      </c>
      <c r="AI291" s="56" t="n">
        <f aca="false">ROUND(Y290*(1+N(Debts!$D$14)/12),2)</f>
        <v>0</v>
      </c>
      <c r="AJ291" s="56" t="n">
        <f aca="false">MIN(Z291,MAX(0,N(Debts!$E$5)))</f>
        <v>0</v>
      </c>
      <c r="AK291" s="56" t="n">
        <f aca="false">MIN(AA291,MAX(0,N(Debts!$E$6)))</f>
        <v>0</v>
      </c>
      <c r="AL291" s="56" t="n">
        <f aca="false">MIN(AB291,MAX(0,N(Debts!$E$7)))</f>
        <v>0</v>
      </c>
      <c r="AM291" s="56" t="n">
        <f aca="false">MIN(AC291,MAX(0,N(Debts!$E$8)))</f>
        <v>0</v>
      </c>
      <c r="AN291" s="56" t="n">
        <f aca="false">MIN(AD291,MAX(0,N(Debts!$E$9)))</f>
        <v>0</v>
      </c>
      <c r="AO291" s="56" t="n">
        <f aca="false">MIN(AE291,MAX(0,N(Debts!$E$10)))</f>
        <v>0</v>
      </c>
      <c r="AP291" s="56" t="n">
        <f aca="false">MIN(AF291,MAX(0,N(Debts!$E$11)))</f>
        <v>0</v>
      </c>
      <c r="AQ291" s="56" t="n">
        <f aca="false">MIN(AG291,MAX(0,N(Debts!$E$12)))</f>
        <v>0</v>
      </c>
      <c r="AR291" s="56" t="n">
        <f aca="false">MIN(AH291,MAX(0,N(Debts!$E$13)))</f>
        <v>0</v>
      </c>
      <c r="AS291" s="56" t="n">
        <f aca="false">MIN(AI291,MAX(0,N(Debts!$E$14)))</f>
        <v>0</v>
      </c>
    </row>
    <row r="292" customFormat="false" ht="15" hidden="false" customHeight="false" outlineLevel="0" collapsed="false">
      <c r="A292" s="53" t="n">
        <v>288</v>
      </c>
      <c r="B292" s="54" t="n">
        <f aca="false">EDATE('Start Here'!$B$8,287)</f>
        <v>55062</v>
      </c>
      <c r="C292" s="42" t="n">
        <f aca="false">SUM(F292:O292)</f>
        <v>0</v>
      </c>
      <c r="D292" s="42" t="n">
        <f aca="false">ROUND(SUM($Z292:$AI292)-SUM(P291:Y291),2)</f>
        <v>0</v>
      </c>
      <c r="E292" s="55" t="n">
        <f aca="false">SUM(P292:Y292)</f>
        <v>0</v>
      </c>
      <c r="F292" s="42" t="n">
        <f aca="false">AJ292+MIN(Z292-AJ292,MAX(0,'Start Here'!$B$10-SUM($AJ292:$AS292)-SUMPRODUCT(($Z$3:$AI$3&lt;Z$3)*($Z292:$AI292-$AJ292:$AS292))))</f>
        <v>0</v>
      </c>
      <c r="G292" s="42" t="n">
        <f aca="false">AK292+MIN(AA292-AK292,MAX(0,'Start Here'!$B$10-SUM($AJ292:$AS292)-SUMPRODUCT(($Z$3:$AI$3&lt;AA$3)*($Z292:$AI292-$AJ292:$AS292))))</f>
        <v>0</v>
      </c>
      <c r="H292" s="42" t="n">
        <f aca="false">AL292+MIN(AB292-AL292,MAX(0,'Start Here'!$B$10-SUM($AJ292:$AS292)-SUMPRODUCT(($Z$3:$AI$3&lt;AB$3)*($Z292:$AI292-$AJ292:$AS292))))</f>
        <v>0</v>
      </c>
      <c r="I292" s="42" t="n">
        <f aca="false">AM292+MIN(AC292-AM292,MAX(0,'Start Here'!$B$10-SUM($AJ292:$AS292)-SUMPRODUCT(($Z$3:$AI$3&lt;AC$3)*($Z292:$AI292-$AJ292:$AS292))))</f>
        <v>0</v>
      </c>
      <c r="J292" s="42" t="n">
        <f aca="false">AN292+MIN(AD292-AN292,MAX(0,'Start Here'!$B$10-SUM($AJ292:$AS292)-SUMPRODUCT(($Z$3:$AI$3&lt;AD$3)*($Z292:$AI292-$AJ292:$AS292))))</f>
        <v>0</v>
      </c>
      <c r="K292" s="42" t="n">
        <f aca="false">AO292+MIN(AE292-AO292,MAX(0,'Start Here'!$B$10-SUM($AJ292:$AS292)-SUMPRODUCT(($Z$3:$AI$3&lt;AE$3)*($Z292:$AI292-$AJ292:$AS292))))</f>
        <v>0</v>
      </c>
      <c r="L292" s="42" t="n">
        <f aca="false">AP292+MIN(AF292-AP292,MAX(0,'Start Here'!$B$10-SUM($AJ292:$AS292)-SUMPRODUCT(($Z$3:$AI$3&lt;AF$3)*($Z292:$AI292-$AJ292:$AS292))))</f>
        <v>0</v>
      </c>
      <c r="M292" s="42" t="n">
        <f aca="false">AQ292+MIN(AG292-AQ292,MAX(0,'Start Here'!$B$10-SUM($AJ292:$AS292)-SUMPRODUCT(($Z$3:$AI$3&lt;AG$3)*($Z292:$AI292-$AJ292:$AS292))))</f>
        <v>0</v>
      </c>
      <c r="N292" s="42" t="n">
        <f aca="false">AR292+MIN(AH292-AR292,MAX(0,'Start Here'!$B$10-SUM($AJ292:$AS292)-SUMPRODUCT(($Z$3:$AI$3&lt;AH$3)*($Z292:$AI292-$AJ292:$AS292))))</f>
        <v>0</v>
      </c>
      <c r="O292" s="42" t="n">
        <f aca="false">AS292+MIN(AI292-AS292,MAX(0,'Start Here'!$B$10-SUM($AJ292:$AS292)-SUMPRODUCT(($Z$3:$AI$3&lt;AI$3)*($Z292:$AI292-$AJ292:$AS292))))</f>
        <v>0</v>
      </c>
      <c r="P292" s="42" t="n">
        <f aca="false">ROUND(Z292-F292,2)</f>
        <v>0</v>
      </c>
      <c r="Q292" s="42" t="n">
        <f aca="false">ROUND(AA292-G292,2)</f>
        <v>0</v>
      </c>
      <c r="R292" s="42" t="n">
        <f aca="false">ROUND(AB292-H292,2)</f>
        <v>0</v>
      </c>
      <c r="S292" s="42" t="n">
        <f aca="false">ROUND(AC292-I292,2)</f>
        <v>0</v>
      </c>
      <c r="T292" s="42" t="n">
        <f aca="false">ROUND(AD292-J292,2)</f>
        <v>0</v>
      </c>
      <c r="U292" s="42" t="n">
        <f aca="false">ROUND(AE292-K292,2)</f>
        <v>0</v>
      </c>
      <c r="V292" s="42" t="n">
        <f aca="false">ROUND(AF292-L292,2)</f>
        <v>0</v>
      </c>
      <c r="W292" s="42" t="n">
        <f aca="false">ROUND(AG292-M292,2)</f>
        <v>0</v>
      </c>
      <c r="X292" s="42" t="n">
        <f aca="false">ROUND(AH292-N292,2)</f>
        <v>0</v>
      </c>
      <c r="Y292" s="42" t="n">
        <f aca="false">ROUND(AI292-O292,2)</f>
        <v>0</v>
      </c>
      <c r="Z292" s="56" t="n">
        <f aca="false">ROUND(P291*(1+N(Debts!$D$5)/12),2)</f>
        <v>0</v>
      </c>
      <c r="AA292" s="56" t="n">
        <f aca="false">ROUND(Q291*(1+N(Debts!$D$6)/12),2)</f>
        <v>0</v>
      </c>
      <c r="AB292" s="56" t="n">
        <f aca="false">ROUND(R291*(1+N(Debts!$D$7)/12),2)</f>
        <v>0</v>
      </c>
      <c r="AC292" s="56" t="n">
        <f aca="false">ROUND(S291*(1+N(Debts!$D$8)/12),2)</f>
        <v>0</v>
      </c>
      <c r="AD292" s="56" t="n">
        <f aca="false">ROUND(T291*(1+N(Debts!$D$9)/12),2)</f>
        <v>0</v>
      </c>
      <c r="AE292" s="56" t="n">
        <f aca="false">ROUND(U291*(1+N(Debts!$D$10)/12),2)</f>
        <v>0</v>
      </c>
      <c r="AF292" s="56" t="n">
        <f aca="false">ROUND(V291*(1+N(Debts!$D$11)/12),2)</f>
        <v>0</v>
      </c>
      <c r="AG292" s="56" t="n">
        <f aca="false">ROUND(W291*(1+N(Debts!$D$12)/12),2)</f>
        <v>0</v>
      </c>
      <c r="AH292" s="56" t="n">
        <f aca="false">ROUND(X291*(1+N(Debts!$D$13)/12),2)</f>
        <v>0</v>
      </c>
      <c r="AI292" s="56" t="n">
        <f aca="false">ROUND(Y291*(1+N(Debts!$D$14)/12),2)</f>
        <v>0</v>
      </c>
      <c r="AJ292" s="56" t="n">
        <f aca="false">MIN(Z292,MAX(0,N(Debts!$E$5)))</f>
        <v>0</v>
      </c>
      <c r="AK292" s="56" t="n">
        <f aca="false">MIN(AA292,MAX(0,N(Debts!$E$6)))</f>
        <v>0</v>
      </c>
      <c r="AL292" s="56" t="n">
        <f aca="false">MIN(AB292,MAX(0,N(Debts!$E$7)))</f>
        <v>0</v>
      </c>
      <c r="AM292" s="56" t="n">
        <f aca="false">MIN(AC292,MAX(0,N(Debts!$E$8)))</f>
        <v>0</v>
      </c>
      <c r="AN292" s="56" t="n">
        <f aca="false">MIN(AD292,MAX(0,N(Debts!$E$9)))</f>
        <v>0</v>
      </c>
      <c r="AO292" s="56" t="n">
        <f aca="false">MIN(AE292,MAX(0,N(Debts!$E$10)))</f>
        <v>0</v>
      </c>
      <c r="AP292" s="56" t="n">
        <f aca="false">MIN(AF292,MAX(0,N(Debts!$E$11)))</f>
        <v>0</v>
      </c>
      <c r="AQ292" s="56" t="n">
        <f aca="false">MIN(AG292,MAX(0,N(Debts!$E$12)))</f>
        <v>0</v>
      </c>
      <c r="AR292" s="56" t="n">
        <f aca="false">MIN(AH292,MAX(0,N(Debts!$E$13)))</f>
        <v>0</v>
      </c>
      <c r="AS292" s="56" t="n">
        <f aca="false">MIN(AI292,MAX(0,N(Debts!$E$14)))</f>
        <v>0</v>
      </c>
    </row>
    <row r="293" customFormat="false" ht="15" hidden="false" customHeight="false" outlineLevel="0" collapsed="false">
      <c r="A293" s="53" t="n">
        <v>289</v>
      </c>
      <c r="B293" s="54" t="n">
        <f aca="false">EDATE('Start Here'!$B$8,288)</f>
        <v>55093</v>
      </c>
      <c r="C293" s="42" t="n">
        <f aca="false">SUM(F293:O293)</f>
        <v>0</v>
      </c>
      <c r="D293" s="42" t="n">
        <f aca="false">ROUND(SUM($Z293:$AI293)-SUM(P292:Y292),2)</f>
        <v>0</v>
      </c>
      <c r="E293" s="55" t="n">
        <f aca="false">SUM(P293:Y293)</f>
        <v>0</v>
      </c>
      <c r="F293" s="42" t="n">
        <f aca="false">AJ293+MIN(Z293-AJ293,MAX(0,'Start Here'!$B$10-SUM($AJ293:$AS293)-SUMPRODUCT(($Z$3:$AI$3&lt;Z$3)*($Z293:$AI293-$AJ293:$AS293))))</f>
        <v>0</v>
      </c>
      <c r="G293" s="42" t="n">
        <f aca="false">AK293+MIN(AA293-AK293,MAX(0,'Start Here'!$B$10-SUM($AJ293:$AS293)-SUMPRODUCT(($Z$3:$AI$3&lt;AA$3)*($Z293:$AI293-$AJ293:$AS293))))</f>
        <v>0</v>
      </c>
      <c r="H293" s="42" t="n">
        <f aca="false">AL293+MIN(AB293-AL293,MAX(0,'Start Here'!$B$10-SUM($AJ293:$AS293)-SUMPRODUCT(($Z$3:$AI$3&lt;AB$3)*($Z293:$AI293-$AJ293:$AS293))))</f>
        <v>0</v>
      </c>
      <c r="I293" s="42" t="n">
        <f aca="false">AM293+MIN(AC293-AM293,MAX(0,'Start Here'!$B$10-SUM($AJ293:$AS293)-SUMPRODUCT(($Z$3:$AI$3&lt;AC$3)*($Z293:$AI293-$AJ293:$AS293))))</f>
        <v>0</v>
      </c>
      <c r="J293" s="42" t="n">
        <f aca="false">AN293+MIN(AD293-AN293,MAX(0,'Start Here'!$B$10-SUM($AJ293:$AS293)-SUMPRODUCT(($Z$3:$AI$3&lt;AD$3)*($Z293:$AI293-$AJ293:$AS293))))</f>
        <v>0</v>
      </c>
      <c r="K293" s="42" t="n">
        <f aca="false">AO293+MIN(AE293-AO293,MAX(0,'Start Here'!$B$10-SUM($AJ293:$AS293)-SUMPRODUCT(($Z$3:$AI$3&lt;AE$3)*($Z293:$AI293-$AJ293:$AS293))))</f>
        <v>0</v>
      </c>
      <c r="L293" s="42" t="n">
        <f aca="false">AP293+MIN(AF293-AP293,MAX(0,'Start Here'!$B$10-SUM($AJ293:$AS293)-SUMPRODUCT(($Z$3:$AI$3&lt;AF$3)*($Z293:$AI293-$AJ293:$AS293))))</f>
        <v>0</v>
      </c>
      <c r="M293" s="42" t="n">
        <f aca="false">AQ293+MIN(AG293-AQ293,MAX(0,'Start Here'!$B$10-SUM($AJ293:$AS293)-SUMPRODUCT(($Z$3:$AI$3&lt;AG$3)*($Z293:$AI293-$AJ293:$AS293))))</f>
        <v>0</v>
      </c>
      <c r="N293" s="42" t="n">
        <f aca="false">AR293+MIN(AH293-AR293,MAX(0,'Start Here'!$B$10-SUM($AJ293:$AS293)-SUMPRODUCT(($Z$3:$AI$3&lt;AH$3)*($Z293:$AI293-$AJ293:$AS293))))</f>
        <v>0</v>
      </c>
      <c r="O293" s="42" t="n">
        <f aca="false">AS293+MIN(AI293-AS293,MAX(0,'Start Here'!$B$10-SUM($AJ293:$AS293)-SUMPRODUCT(($Z$3:$AI$3&lt;AI$3)*($Z293:$AI293-$AJ293:$AS293))))</f>
        <v>0</v>
      </c>
      <c r="P293" s="42" t="n">
        <f aca="false">ROUND(Z293-F293,2)</f>
        <v>0</v>
      </c>
      <c r="Q293" s="42" t="n">
        <f aca="false">ROUND(AA293-G293,2)</f>
        <v>0</v>
      </c>
      <c r="R293" s="42" t="n">
        <f aca="false">ROUND(AB293-H293,2)</f>
        <v>0</v>
      </c>
      <c r="S293" s="42" t="n">
        <f aca="false">ROUND(AC293-I293,2)</f>
        <v>0</v>
      </c>
      <c r="T293" s="42" t="n">
        <f aca="false">ROUND(AD293-J293,2)</f>
        <v>0</v>
      </c>
      <c r="U293" s="42" t="n">
        <f aca="false">ROUND(AE293-K293,2)</f>
        <v>0</v>
      </c>
      <c r="V293" s="42" t="n">
        <f aca="false">ROUND(AF293-L293,2)</f>
        <v>0</v>
      </c>
      <c r="W293" s="42" t="n">
        <f aca="false">ROUND(AG293-M293,2)</f>
        <v>0</v>
      </c>
      <c r="X293" s="42" t="n">
        <f aca="false">ROUND(AH293-N293,2)</f>
        <v>0</v>
      </c>
      <c r="Y293" s="42" t="n">
        <f aca="false">ROUND(AI293-O293,2)</f>
        <v>0</v>
      </c>
      <c r="Z293" s="56" t="n">
        <f aca="false">ROUND(P292*(1+N(Debts!$D$5)/12),2)</f>
        <v>0</v>
      </c>
      <c r="AA293" s="56" t="n">
        <f aca="false">ROUND(Q292*(1+N(Debts!$D$6)/12),2)</f>
        <v>0</v>
      </c>
      <c r="AB293" s="56" t="n">
        <f aca="false">ROUND(R292*(1+N(Debts!$D$7)/12),2)</f>
        <v>0</v>
      </c>
      <c r="AC293" s="56" t="n">
        <f aca="false">ROUND(S292*(1+N(Debts!$D$8)/12),2)</f>
        <v>0</v>
      </c>
      <c r="AD293" s="56" t="n">
        <f aca="false">ROUND(T292*(1+N(Debts!$D$9)/12),2)</f>
        <v>0</v>
      </c>
      <c r="AE293" s="56" t="n">
        <f aca="false">ROUND(U292*(1+N(Debts!$D$10)/12),2)</f>
        <v>0</v>
      </c>
      <c r="AF293" s="56" t="n">
        <f aca="false">ROUND(V292*(1+N(Debts!$D$11)/12),2)</f>
        <v>0</v>
      </c>
      <c r="AG293" s="56" t="n">
        <f aca="false">ROUND(W292*(1+N(Debts!$D$12)/12),2)</f>
        <v>0</v>
      </c>
      <c r="AH293" s="56" t="n">
        <f aca="false">ROUND(X292*(1+N(Debts!$D$13)/12),2)</f>
        <v>0</v>
      </c>
      <c r="AI293" s="56" t="n">
        <f aca="false">ROUND(Y292*(1+N(Debts!$D$14)/12),2)</f>
        <v>0</v>
      </c>
      <c r="AJ293" s="56" t="n">
        <f aca="false">MIN(Z293,MAX(0,N(Debts!$E$5)))</f>
        <v>0</v>
      </c>
      <c r="AK293" s="56" t="n">
        <f aca="false">MIN(AA293,MAX(0,N(Debts!$E$6)))</f>
        <v>0</v>
      </c>
      <c r="AL293" s="56" t="n">
        <f aca="false">MIN(AB293,MAX(0,N(Debts!$E$7)))</f>
        <v>0</v>
      </c>
      <c r="AM293" s="56" t="n">
        <f aca="false">MIN(AC293,MAX(0,N(Debts!$E$8)))</f>
        <v>0</v>
      </c>
      <c r="AN293" s="56" t="n">
        <f aca="false">MIN(AD293,MAX(0,N(Debts!$E$9)))</f>
        <v>0</v>
      </c>
      <c r="AO293" s="56" t="n">
        <f aca="false">MIN(AE293,MAX(0,N(Debts!$E$10)))</f>
        <v>0</v>
      </c>
      <c r="AP293" s="56" t="n">
        <f aca="false">MIN(AF293,MAX(0,N(Debts!$E$11)))</f>
        <v>0</v>
      </c>
      <c r="AQ293" s="56" t="n">
        <f aca="false">MIN(AG293,MAX(0,N(Debts!$E$12)))</f>
        <v>0</v>
      </c>
      <c r="AR293" s="56" t="n">
        <f aca="false">MIN(AH293,MAX(0,N(Debts!$E$13)))</f>
        <v>0</v>
      </c>
      <c r="AS293" s="56" t="n">
        <f aca="false">MIN(AI293,MAX(0,N(Debts!$E$14)))</f>
        <v>0</v>
      </c>
    </row>
    <row r="294" customFormat="false" ht="15" hidden="false" customHeight="false" outlineLevel="0" collapsed="false">
      <c r="A294" s="53" t="n">
        <v>290</v>
      </c>
      <c r="B294" s="54" t="n">
        <f aca="false">EDATE('Start Here'!$B$8,289)</f>
        <v>55123</v>
      </c>
      <c r="C294" s="42" t="n">
        <f aca="false">SUM(F294:O294)</f>
        <v>0</v>
      </c>
      <c r="D294" s="42" t="n">
        <f aca="false">ROUND(SUM($Z294:$AI294)-SUM(P293:Y293),2)</f>
        <v>0</v>
      </c>
      <c r="E294" s="55" t="n">
        <f aca="false">SUM(P294:Y294)</f>
        <v>0</v>
      </c>
      <c r="F294" s="42" t="n">
        <f aca="false">AJ294+MIN(Z294-AJ294,MAX(0,'Start Here'!$B$10-SUM($AJ294:$AS294)-SUMPRODUCT(($Z$3:$AI$3&lt;Z$3)*($Z294:$AI294-$AJ294:$AS294))))</f>
        <v>0</v>
      </c>
      <c r="G294" s="42" t="n">
        <f aca="false">AK294+MIN(AA294-AK294,MAX(0,'Start Here'!$B$10-SUM($AJ294:$AS294)-SUMPRODUCT(($Z$3:$AI$3&lt;AA$3)*($Z294:$AI294-$AJ294:$AS294))))</f>
        <v>0</v>
      </c>
      <c r="H294" s="42" t="n">
        <f aca="false">AL294+MIN(AB294-AL294,MAX(0,'Start Here'!$B$10-SUM($AJ294:$AS294)-SUMPRODUCT(($Z$3:$AI$3&lt;AB$3)*($Z294:$AI294-$AJ294:$AS294))))</f>
        <v>0</v>
      </c>
      <c r="I294" s="42" t="n">
        <f aca="false">AM294+MIN(AC294-AM294,MAX(0,'Start Here'!$B$10-SUM($AJ294:$AS294)-SUMPRODUCT(($Z$3:$AI$3&lt;AC$3)*($Z294:$AI294-$AJ294:$AS294))))</f>
        <v>0</v>
      </c>
      <c r="J294" s="42" t="n">
        <f aca="false">AN294+MIN(AD294-AN294,MAX(0,'Start Here'!$B$10-SUM($AJ294:$AS294)-SUMPRODUCT(($Z$3:$AI$3&lt;AD$3)*($Z294:$AI294-$AJ294:$AS294))))</f>
        <v>0</v>
      </c>
      <c r="K294" s="42" t="n">
        <f aca="false">AO294+MIN(AE294-AO294,MAX(0,'Start Here'!$B$10-SUM($AJ294:$AS294)-SUMPRODUCT(($Z$3:$AI$3&lt;AE$3)*($Z294:$AI294-$AJ294:$AS294))))</f>
        <v>0</v>
      </c>
      <c r="L294" s="42" t="n">
        <f aca="false">AP294+MIN(AF294-AP294,MAX(0,'Start Here'!$B$10-SUM($AJ294:$AS294)-SUMPRODUCT(($Z$3:$AI$3&lt;AF$3)*($Z294:$AI294-$AJ294:$AS294))))</f>
        <v>0</v>
      </c>
      <c r="M294" s="42" t="n">
        <f aca="false">AQ294+MIN(AG294-AQ294,MAX(0,'Start Here'!$B$10-SUM($AJ294:$AS294)-SUMPRODUCT(($Z$3:$AI$3&lt;AG$3)*($Z294:$AI294-$AJ294:$AS294))))</f>
        <v>0</v>
      </c>
      <c r="N294" s="42" t="n">
        <f aca="false">AR294+MIN(AH294-AR294,MAX(0,'Start Here'!$B$10-SUM($AJ294:$AS294)-SUMPRODUCT(($Z$3:$AI$3&lt;AH$3)*($Z294:$AI294-$AJ294:$AS294))))</f>
        <v>0</v>
      </c>
      <c r="O294" s="42" t="n">
        <f aca="false">AS294+MIN(AI294-AS294,MAX(0,'Start Here'!$B$10-SUM($AJ294:$AS294)-SUMPRODUCT(($Z$3:$AI$3&lt;AI$3)*($Z294:$AI294-$AJ294:$AS294))))</f>
        <v>0</v>
      </c>
      <c r="P294" s="42" t="n">
        <f aca="false">ROUND(Z294-F294,2)</f>
        <v>0</v>
      </c>
      <c r="Q294" s="42" t="n">
        <f aca="false">ROUND(AA294-G294,2)</f>
        <v>0</v>
      </c>
      <c r="R294" s="42" t="n">
        <f aca="false">ROUND(AB294-H294,2)</f>
        <v>0</v>
      </c>
      <c r="S294" s="42" t="n">
        <f aca="false">ROUND(AC294-I294,2)</f>
        <v>0</v>
      </c>
      <c r="T294" s="42" t="n">
        <f aca="false">ROUND(AD294-J294,2)</f>
        <v>0</v>
      </c>
      <c r="U294" s="42" t="n">
        <f aca="false">ROUND(AE294-K294,2)</f>
        <v>0</v>
      </c>
      <c r="V294" s="42" t="n">
        <f aca="false">ROUND(AF294-L294,2)</f>
        <v>0</v>
      </c>
      <c r="W294" s="42" t="n">
        <f aca="false">ROUND(AG294-M294,2)</f>
        <v>0</v>
      </c>
      <c r="X294" s="42" t="n">
        <f aca="false">ROUND(AH294-N294,2)</f>
        <v>0</v>
      </c>
      <c r="Y294" s="42" t="n">
        <f aca="false">ROUND(AI294-O294,2)</f>
        <v>0</v>
      </c>
      <c r="Z294" s="56" t="n">
        <f aca="false">ROUND(P293*(1+N(Debts!$D$5)/12),2)</f>
        <v>0</v>
      </c>
      <c r="AA294" s="56" t="n">
        <f aca="false">ROUND(Q293*(1+N(Debts!$D$6)/12),2)</f>
        <v>0</v>
      </c>
      <c r="AB294" s="56" t="n">
        <f aca="false">ROUND(R293*(1+N(Debts!$D$7)/12),2)</f>
        <v>0</v>
      </c>
      <c r="AC294" s="56" t="n">
        <f aca="false">ROUND(S293*(1+N(Debts!$D$8)/12),2)</f>
        <v>0</v>
      </c>
      <c r="AD294" s="56" t="n">
        <f aca="false">ROUND(T293*(1+N(Debts!$D$9)/12),2)</f>
        <v>0</v>
      </c>
      <c r="AE294" s="56" t="n">
        <f aca="false">ROUND(U293*(1+N(Debts!$D$10)/12),2)</f>
        <v>0</v>
      </c>
      <c r="AF294" s="56" t="n">
        <f aca="false">ROUND(V293*(1+N(Debts!$D$11)/12),2)</f>
        <v>0</v>
      </c>
      <c r="AG294" s="56" t="n">
        <f aca="false">ROUND(W293*(1+N(Debts!$D$12)/12),2)</f>
        <v>0</v>
      </c>
      <c r="AH294" s="56" t="n">
        <f aca="false">ROUND(X293*(1+N(Debts!$D$13)/12),2)</f>
        <v>0</v>
      </c>
      <c r="AI294" s="56" t="n">
        <f aca="false">ROUND(Y293*(1+N(Debts!$D$14)/12),2)</f>
        <v>0</v>
      </c>
      <c r="AJ294" s="56" t="n">
        <f aca="false">MIN(Z294,MAX(0,N(Debts!$E$5)))</f>
        <v>0</v>
      </c>
      <c r="AK294" s="56" t="n">
        <f aca="false">MIN(AA294,MAX(0,N(Debts!$E$6)))</f>
        <v>0</v>
      </c>
      <c r="AL294" s="56" t="n">
        <f aca="false">MIN(AB294,MAX(0,N(Debts!$E$7)))</f>
        <v>0</v>
      </c>
      <c r="AM294" s="56" t="n">
        <f aca="false">MIN(AC294,MAX(0,N(Debts!$E$8)))</f>
        <v>0</v>
      </c>
      <c r="AN294" s="56" t="n">
        <f aca="false">MIN(AD294,MAX(0,N(Debts!$E$9)))</f>
        <v>0</v>
      </c>
      <c r="AO294" s="56" t="n">
        <f aca="false">MIN(AE294,MAX(0,N(Debts!$E$10)))</f>
        <v>0</v>
      </c>
      <c r="AP294" s="56" t="n">
        <f aca="false">MIN(AF294,MAX(0,N(Debts!$E$11)))</f>
        <v>0</v>
      </c>
      <c r="AQ294" s="56" t="n">
        <f aca="false">MIN(AG294,MAX(0,N(Debts!$E$12)))</f>
        <v>0</v>
      </c>
      <c r="AR294" s="56" t="n">
        <f aca="false">MIN(AH294,MAX(0,N(Debts!$E$13)))</f>
        <v>0</v>
      </c>
      <c r="AS294" s="56" t="n">
        <f aca="false">MIN(AI294,MAX(0,N(Debts!$E$14)))</f>
        <v>0</v>
      </c>
    </row>
    <row r="295" customFormat="false" ht="15" hidden="false" customHeight="false" outlineLevel="0" collapsed="false">
      <c r="A295" s="53" t="n">
        <v>291</v>
      </c>
      <c r="B295" s="54" t="n">
        <f aca="false">EDATE('Start Here'!$B$8,290)</f>
        <v>55154</v>
      </c>
      <c r="C295" s="42" t="n">
        <f aca="false">SUM(F295:O295)</f>
        <v>0</v>
      </c>
      <c r="D295" s="42" t="n">
        <f aca="false">ROUND(SUM($Z295:$AI295)-SUM(P294:Y294),2)</f>
        <v>0</v>
      </c>
      <c r="E295" s="55" t="n">
        <f aca="false">SUM(P295:Y295)</f>
        <v>0</v>
      </c>
      <c r="F295" s="42" t="n">
        <f aca="false">AJ295+MIN(Z295-AJ295,MAX(0,'Start Here'!$B$10-SUM($AJ295:$AS295)-SUMPRODUCT(($Z$3:$AI$3&lt;Z$3)*($Z295:$AI295-$AJ295:$AS295))))</f>
        <v>0</v>
      </c>
      <c r="G295" s="42" t="n">
        <f aca="false">AK295+MIN(AA295-AK295,MAX(0,'Start Here'!$B$10-SUM($AJ295:$AS295)-SUMPRODUCT(($Z$3:$AI$3&lt;AA$3)*($Z295:$AI295-$AJ295:$AS295))))</f>
        <v>0</v>
      </c>
      <c r="H295" s="42" t="n">
        <f aca="false">AL295+MIN(AB295-AL295,MAX(0,'Start Here'!$B$10-SUM($AJ295:$AS295)-SUMPRODUCT(($Z$3:$AI$3&lt;AB$3)*($Z295:$AI295-$AJ295:$AS295))))</f>
        <v>0</v>
      </c>
      <c r="I295" s="42" t="n">
        <f aca="false">AM295+MIN(AC295-AM295,MAX(0,'Start Here'!$B$10-SUM($AJ295:$AS295)-SUMPRODUCT(($Z$3:$AI$3&lt;AC$3)*($Z295:$AI295-$AJ295:$AS295))))</f>
        <v>0</v>
      </c>
      <c r="J295" s="42" t="n">
        <f aca="false">AN295+MIN(AD295-AN295,MAX(0,'Start Here'!$B$10-SUM($AJ295:$AS295)-SUMPRODUCT(($Z$3:$AI$3&lt;AD$3)*($Z295:$AI295-$AJ295:$AS295))))</f>
        <v>0</v>
      </c>
      <c r="K295" s="42" t="n">
        <f aca="false">AO295+MIN(AE295-AO295,MAX(0,'Start Here'!$B$10-SUM($AJ295:$AS295)-SUMPRODUCT(($Z$3:$AI$3&lt;AE$3)*($Z295:$AI295-$AJ295:$AS295))))</f>
        <v>0</v>
      </c>
      <c r="L295" s="42" t="n">
        <f aca="false">AP295+MIN(AF295-AP295,MAX(0,'Start Here'!$B$10-SUM($AJ295:$AS295)-SUMPRODUCT(($Z$3:$AI$3&lt;AF$3)*($Z295:$AI295-$AJ295:$AS295))))</f>
        <v>0</v>
      </c>
      <c r="M295" s="42" t="n">
        <f aca="false">AQ295+MIN(AG295-AQ295,MAX(0,'Start Here'!$B$10-SUM($AJ295:$AS295)-SUMPRODUCT(($Z$3:$AI$3&lt;AG$3)*($Z295:$AI295-$AJ295:$AS295))))</f>
        <v>0</v>
      </c>
      <c r="N295" s="42" t="n">
        <f aca="false">AR295+MIN(AH295-AR295,MAX(0,'Start Here'!$B$10-SUM($AJ295:$AS295)-SUMPRODUCT(($Z$3:$AI$3&lt;AH$3)*($Z295:$AI295-$AJ295:$AS295))))</f>
        <v>0</v>
      </c>
      <c r="O295" s="42" t="n">
        <f aca="false">AS295+MIN(AI295-AS295,MAX(0,'Start Here'!$B$10-SUM($AJ295:$AS295)-SUMPRODUCT(($Z$3:$AI$3&lt;AI$3)*($Z295:$AI295-$AJ295:$AS295))))</f>
        <v>0</v>
      </c>
      <c r="P295" s="42" t="n">
        <f aca="false">ROUND(Z295-F295,2)</f>
        <v>0</v>
      </c>
      <c r="Q295" s="42" t="n">
        <f aca="false">ROUND(AA295-G295,2)</f>
        <v>0</v>
      </c>
      <c r="R295" s="42" t="n">
        <f aca="false">ROUND(AB295-H295,2)</f>
        <v>0</v>
      </c>
      <c r="S295" s="42" t="n">
        <f aca="false">ROUND(AC295-I295,2)</f>
        <v>0</v>
      </c>
      <c r="T295" s="42" t="n">
        <f aca="false">ROUND(AD295-J295,2)</f>
        <v>0</v>
      </c>
      <c r="U295" s="42" t="n">
        <f aca="false">ROUND(AE295-K295,2)</f>
        <v>0</v>
      </c>
      <c r="V295" s="42" t="n">
        <f aca="false">ROUND(AF295-L295,2)</f>
        <v>0</v>
      </c>
      <c r="W295" s="42" t="n">
        <f aca="false">ROUND(AG295-M295,2)</f>
        <v>0</v>
      </c>
      <c r="X295" s="42" t="n">
        <f aca="false">ROUND(AH295-N295,2)</f>
        <v>0</v>
      </c>
      <c r="Y295" s="42" t="n">
        <f aca="false">ROUND(AI295-O295,2)</f>
        <v>0</v>
      </c>
      <c r="Z295" s="56" t="n">
        <f aca="false">ROUND(P294*(1+N(Debts!$D$5)/12),2)</f>
        <v>0</v>
      </c>
      <c r="AA295" s="56" t="n">
        <f aca="false">ROUND(Q294*(1+N(Debts!$D$6)/12),2)</f>
        <v>0</v>
      </c>
      <c r="AB295" s="56" t="n">
        <f aca="false">ROUND(R294*(1+N(Debts!$D$7)/12),2)</f>
        <v>0</v>
      </c>
      <c r="AC295" s="56" t="n">
        <f aca="false">ROUND(S294*(1+N(Debts!$D$8)/12),2)</f>
        <v>0</v>
      </c>
      <c r="AD295" s="56" t="n">
        <f aca="false">ROUND(T294*(1+N(Debts!$D$9)/12),2)</f>
        <v>0</v>
      </c>
      <c r="AE295" s="56" t="n">
        <f aca="false">ROUND(U294*(1+N(Debts!$D$10)/12),2)</f>
        <v>0</v>
      </c>
      <c r="AF295" s="56" t="n">
        <f aca="false">ROUND(V294*(1+N(Debts!$D$11)/12),2)</f>
        <v>0</v>
      </c>
      <c r="AG295" s="56" t="n">
        <f aca="false">ROUND(W294*(1+N(Debts!$D$12)/12),2)</f>
        <v>0</v>
      </c>
      <c r="AH295" s="56" t="n">
        <f aca="false">ROUND(X294*(1+N(Debts!$D$13)/12),2)</f>
        <v>0</v>
      </c>
      <c r="AI295" s="56" t="n">
        <f aca="false">ROUND(Y294*(1+N(Debts!$D$14)/12),2)</f>
        <v>0</v>
      </c>
      <c r="AJ295" s="56" t="n">
        <f aca="false">MIN(Z295,MAX(0,N(Debts!$E$5)))</f>
        <v>0</v>
      </c>
      <c r="AK295" s="56" t="n">
        <f aca="false">MIN(AA295,MAX(0,N(Debts!$E$6)))</f>
        <v>0</v>
      </c>
      <c r="AL295" s="56" t="n">
        <f aca="false">MIN(AB295,MAX(0,N(Debts!$E$7)))</f>
        <v>0</v>
      </c>
      <c r="AM295" s="56" t="n">
        <f aca="false">MIN(AC295,MAX(0,N(Debts!$E$8)))</f>
        <v>0</v>
      </c>
      <c r="AN295" s="56" t="n">
        <f aca="false">MIN(AD295,MAX(0,N(Debts!$E$9)))</f>
        <v>0</v>
      </c>
      <c r="AO295" s="56" t="n">
        <f aca="false">MIN(AE295,MAX(0,N(Debts!$E$10)))</f>
        <v>0</v>
      </c>
      <c r="AP295" s="56" t="n">
        <f aca="false">MIN(AF295,MAX(0,N(Debts!$E$11)))</f>
        <v>0</v>
      </c>
      <c r="AQ295" s="56" t="n">
        <f aca="false">MIN(AG295,MAX(0,N(Debts!$E$12)))</f>
        <v>0</v>
      </c>
      <c r="AR295" s="56" t="n">
        <f aca="false">MIN(AH295,MAX(0,N(Debts!$E$13)))</f>
        <v>0</v>
      </c>
      <c r="AS295" s="56" t="n">
        <f aca="false">MIN(AI295,MAX(0,N(Debts!$E$14)))</f>
        <v>0</v>
      </c>
    </row>
    <row r="296" customFormat="false" ht="15" hidden="false" customHeight="false" outlineLevel="0" collapsed="false">
      <c r="A296" s="53" t="n">
        <v>292</v>
      </c>
      <c r="B296" s="54" t="n">
        <f aca="false">EDATE('Start Here'!$B$8,291)</f>
        <v>55185</v>
      </c>
      <c r="C296" s="42" t="n">
        <f aca="false">SUM(F296:O296)</f>
        <v>0</v>
      </c>
      <c r="D296" s="42" t="n">
        <f aca="false">ROUND(SUM($Z296:$AI296)-SUM(P295:Y295),2)</f>
        <v>0</v>
      </c>
      <c r="E296" s="55" t="n">
        <f aca="false">SUM(P296:Y296)</f>
        <v>0</v>
      </c>
      <c r="F296" s="42" t="n">
        <f aca="false">AJ296+MIN(Z296-AJ296,MAX(0,'Start Here'!$B$10-SUM($AJ296:$AS296)-SUMPRODUCT(($Z$3:$AI$3&lt;Z$3)*($Z296:$AI296-$AJ296:$AS296))))</f>
        <v>0</v>
      </c>
      <c r="G296" s="42" t="n">
        <f aca="false">AK296+MIN(AA296-AK296,MAX(0,'Start Here'!$B$10-SUM($AJ296:$AS296)-SUMPRODUCT(($Z$3:$AI$3&lt;AA$3)*($Z296:$AI296-$AJ296:$AS296))))</f>
        <v>0</v>
      </c>
      <c r="H296" s="42" t="n">
        <f aca="false">AL296+MIN(AB296-AL296,MAX(0,'Start Here'!$B$10-SUM($AJ296:$AS296)-SUMPRODUCT(($Z$3:$AI$3&lt;AB$3)*($Z296:$AI296-$AJ296:$AS296))))</f>
        <v>0</v>
      </c>
      <c r="I296" s="42" t="n">
        <f aca="false">AM296+MIN(AC296-AM296,MAX(0,'Start Here'!$B$10-SUM($AJ296:$AS296)-SUMPRODUCT(($Z$3:$AI$3&lt;AC$3)*($Z296:$AI296-$AJ296:$AS296))))</f>
        <v>0</v>
      </c>
      <c r="J296" s="42" t="n">
        <f aca="false">AN296+MIN(AD296-AN296,MAX(0,'Start Here'!$B$10-SUM($AJ296:$AS296)-SUMPRODUCT(($Z$3:$AI$3&lt;AD$3)*($Z296:$AI296-$AJ296:$AS296))))</f>
        <v>0</v>
      </c>
      <c r="K296" s="42" t="n">
        <f aca="false">AO296+MIN(AE296-AO296,MAX(0,'Start Here'!$B$10-SUM($AJ296:$AS296)-SUMPRODUCT(($Z$3:$AI$3&lt;AE$3)*($Z296:$AI296-$AJ296:$AS296))))</f>
        <v>0</v>
      </c>
      <c r="L296" s="42" t="n">
        <f aca="false">AP296+MIN(AF296-AP296,MAX(0,'Start Here'!$B$10-SUM($AJ296:$AS296)-SUMPRODUCT(($Z$3:$AI$3&lt;AF$3)*($Z296:$AI296-$AJ296:$AS296))))</f>
        <v>0</v>
      </c>
      <c r="M296" s="42" t="n">
        <f aca="false">AQ296+MIN(AG296-AQ296,MAX(0,'Start Here'!$B$10-SUM($AJ296:$AS296)-SUMPRODUCT(($Z$3:$AI$3&lt;AG$3)*($Z296:$AI296-$AJ296:$AS296))))</f>
        <v>0</v>
      </c>
      <c r="N296" s="42" t="n">
        <f aca="false">AR296+MIN(AH296-AR296,MAX(0,'Start Here'!$B$10-SUM($AJ296:$AS296)-SUMPRODUCT(($Z$3:$AI$3&lt;AH$3)*($Z296:$AI296-$AJ296:$AS296))))</f>
        <v>0</v>
      </c>
      <c r="O296" s="42" t="n">
        <f aca="false">AS296+MIN(AI296-AS296,MAX(0,'Start Here'!$B$10-SUM($AJ296:$AS296)-SUMPRODUCT(($Z$3:$AI$3&lt;AI$3)*($Z296:$AI296-$AJ296:$AS296))))</f>
        <v>0</v>
      </c>
      <c r="P296" s="42" t="n">
        <f aca="false">ROUND(Z296-F296,2)</f>
        <v>0</v>
      </c>
      <c r="Q296" s="42" t="n">
        <f aca="false">ROUND(AA296-G296,2)</f>
        <v>0</v>
      </c>
      <c r="R296" s="42" t="n">
        <f aca="false">ROUND(AB296-H296,2)</f>
        <v>0</v>
      </c>
      <c r="S296" s="42" t="n">
        <f aca="false">ROUND(AC296-I296,2)</f>
        <v>0</v>
      </c>
      <c r="T296" s="42" t="n">
        <f aca="false">ROUND(AD296-J296,2)</f>
        <v>0</v>
      </c>
      <c r="U296" s="42" t="n">
        <f aca="false">ROUND(AE296-K296,2)</f>
        <v>0</v>
      </c>
      <c r="V296" s="42" t="n">
        <f aca="false">ROUND(AF296-L296,2)</f>
        <v>0</v>
      </c>
      <c r="W296" s="42" t="n">
        <f aca="false">ROUND(AG296-M296,2)</f>
        <v>0</v>
      </c>
      <c r="X296" s="42" t="n">
        <f aca="false">ROUND(AH296-N296,2)</f>
        <v>0</v>
      </c>
      <c r="Y296" s="42" t="n">
        <f aca="false">ROUND(AI296-O296,2)</f>
        <v>0</v>
      </c>
      <c r="Z296" s="56" t="n">
        <f aca="false">ROUND(P295*(1+N(Debts!$D$5)/12),2)</f>
        <v>0</v>
      </c>
      <c r="AA296" s="56" t="n">
        <f aca="false">ROUND(Q295*(1+N(Debts!$D$6)/12),2)</f>
        <v>0</v>
      </c>
      <c r="AB296" s="56" t="n">
        <f aca="false">ROUND(R295*(1+N(Debts!$D$7)/12),2)</f>
        <v>0</v>
      </c>
      <c r="AC296" s="56" t="n">
        <f aca="false">ROUND(S295*(1+N(Debts!$D$8)/12),2)</f>
        <v>0</v>
      </c>
      <c r="AD296" s="56" t="n">
        <f aca="false">ROUND(T295*(1+N(Debts!$D$9)/12),2)</f>
        <v>0</v>
      </c>
      <c r="AE296" s="56" t="n">
        <f aca="false">ROUND(U295*(1+N(Debts!$D$10)/12),2)</f>
        <v>0</v>
      </c>
      <c r="AF296" s="56" t="n">
        <f aca="false">ROUND(V295*(1+N(Debts!$D$11)/12),2)</f>
        <v>0</v>
      </c>
      <c r="AG296" s="56" t="n">
        <f aca="false">ROUND(W295*(1+N(Debts!$D$12)/12),2)</f>
        <v>0</v>
      </c>
      <c r="AH296" s="56" t="n">
        <f aca="false">ROUND(X295*(1+N(Debts!$D$13)/12),2)</f>
        <v>0</v>
      </c>
      <c r="AI296" s="56" t="n">
        <f aca="false">ROUND(Y295*(1+N(Debts!$D$14)/12),2)</f>
        <v>0</v>
      </c>
      <c r="AJ296" s="56" t="n">
        <f aca="false">MIN(Z296,MAX(0,N(Debts!$E$5)))</f>
        <v>0</v>
      </c>
      <c r="AK296" s="56" t="n">
        <f aca="false">MIN(AA296,MAX(0,N(Debts!$E$6)))</f>
        <v>0</v>
      </c>
      <c r="AL296" s="56" t="n">
        <f aca="false">MIN(AB296,MAX(0,N(Debts!$E$7)))</f>
        <v>0</v>
      </c>
      <c r="AM296" s="56" t="n">
        <f aca="false">MIN(AC296,MAX(0,N(Debts!$E$8)))</f>
        <v>0</v>
      </c>
      <c r="AN296" s="56" t="n">
        <f aca="false">MIN(AD296,MAX(0,N(Debts!$E$9)))</f>
        <v>0</v>
      </c>
      <c r="AO296" s="56" t="n">
        <f aca="false">MIN(AE296,MAX(0,N(Debts!$E$10)))</f>
        <v>0</v>
      </c>
      <c r="AP296" s="56" t="n">
        <f aca="false">MIN(AF296,MAX(0,N(Debts!$E$11)))</f>
        <v>0</v>
      </c>
      <c r="AQ296" s="56" t="n">
        <f aca="false">MIN(AG296,MAX(0,N(Debts!$E$12)))</f>
        <v>0</v>
      </c>
      <c r="AR296" s="56" t="n">
        <f aca="false">MIN(AH296,MAX(0,N(Debts!$E$13)))</f>
        <v>0</v>
      </c>
      <c r="AS296" s="56" t="n">
        <f aca="false">MIN(AI296,MAX(0,N(Debts!$E$14)))</f>
        <v>0</v>
      </c>
    </row>
    <row r="297" customFormat="false" ht="15" hidden="false" customHeight="false" outlineLevel="0" collapsed="false">
      <c r="A297" s="53" t="n">
        <v>293</v>
      </c>
      <c r="B297" s="54" t="n">
        <f aca="false">EDATE('Start Here'!$B$8,292)</f>
        <v>55213</v>
      </c>
      <c r="C297" s="42" t="n">
        <f aca="false">SUM(F297:O297)</f>
        <v>0</v>
      </c>
      <c r="D297" s="42" t="n">
        <f aca="false">ROUND(SUM($Z297:$AI297)-SUM(P296:Y296),2)</f>
        <v>0</v>
      </c>
      <c r="E297" s="55" t="n">
        <f aca="false">SUM(P297:Y297)</f>
        <v>0</v>
      </c>
      <c r="F297" s="42" t="n">
        <f aca="false">AJ297+MIN(Z297-AJ297,MAX(0,'Start Here'!$B$10-SUM($AJ297:$AS297)-SUMPRODUCT(($Z$3:$AI$3&lt;Z$3)*($Z297:$AI297-$AJ297:$AS297))))</f>
        <v>0</v>
      </c>
      <c r="G297" s="42" t="n">
        <f aca="false">AK297+MIN(AA297-AK297,MAX(0,'Start Here'!$B$10-SUM($AJ297:$AS297)-SUMPRODUCT(($Z$3:$AI$3&lt;AA$3)*($Z297:$AI297-$AJ297:$AS297))))</f>
        <v>0</v>
      </c>
      <c r="H297" s="42" t="n">
        <f aca="false">AL297+MIN(AB297-AL297,MAX(0,'Start Here'!$B$10-SUM($AJ297:$AS297)-SUMPRODUCT(($Z$3:$AI$3&lt;AB$3)*($Z297:$AI297-$AJ297:$AS297))))</f>
        <v>0</v>
      </c>
      <c r="I297" s="42" t="n">
        <f aca="false">AM297+MIN(AC297-AM297,MAX(0,'Start Here'!$B$10-SUM($AJ297:$AS297)-SUMPRODUCT(($Z$3:$AI$3&lt;AC$3)*($Z297:$AI297-$AJ297:$AS297))))</f>
        <v>0</v>
      </c>
      <c r="J297" s="42" t="n">
        <f aca="false">AN297+MIN(AD297-AN297,MAX(0,'Start Here'!$B$10-SUM($AJ297:$AS297)-SUMPRODUCT(($Z$3:$AI$3&lt;AD$3)*($Z297:$AI297-$AJ297:$AS297))))</f>
        <v>0</v>
      </c>
      <c r="K297" s="42" t="n">
        <f aca="false">AO297+MIN(AE297-AO297,MAX(0,'Start Here'!$B$10-SUM($AJ297:$AS297)-SUMPRODUCT(($Z$3:$AI$3&lt;AE$3)*($Z297:$AI297-$AJ297:$AS297))))</f>
        <v>0</v>
      </c>
      <c r="L297" s="42" t="n">
        <f aca="false">AP297+MIN(AF297-AP297,MAX(0,'Start Here'!$B$10-SUM($AJ297:$AS297)-SUMPRODUCT(($Z$3:$AI$3&lt;AF$3)*($Z297:$AI297-$AJ297:$AS297))))</f>
        <v>0</v>
      </c>
      <c r="M297" s="42" t="n">
        <f aca="false">AQ297+MIN(AG297-AQ297,MAX(0,'Start Here'!$B$10-SUM($AJ297:$AS297)-SUMPRODUCT(($Z$3:$AI$3&lt;AG$3)*($Z297:$AI297-$AJ297:$AS297))))</f>
        <v>0</v>
      </c>
      <c r="N297" s="42" t="n">
        <f aca="false">AR297+MIN(AH297-AR297,MAX(0,'Start Here'!$B$10-SUM($AJ297:$AS297)-SUMPRODUCT(($Z$3:$AI$3&lt;AH$3)*($Z297:$AI297-$AJ297:$AS297))))</f>
        <v>0</v>
      </c>
      <c r="O297" s="42" t="n">
        <f aca="false">AS297+MIN(AI297-AS297,MAX(0,'Start Here'!$B$10-SUM($AJ297:$AS297)-SUMPRODUCT(($Z$3:$AI$3&lt;AI$3)*($Z297:$AI297-$AJ297:$AS297))))</f>
        <v>0</v>
      </c>
      <c r="P297" s="42" t="n">
        <f aca="false">ROUND(Z297-F297,2)</f>
        <v>0</v>
      </c>
      <c r="Q297" s="42" t="n">
        <f aca="false">ROUND(AA297-G297,2)</f>
        <v>0</v>
      </c>
      <c r="R297" s="42" t="n">
        <f aca="false">ROUND(AB297-H297,2)</f>
        <v>0</v>
      </c>
      <c r="S297" s="42" t="n">
        <f aca="false">ROUND(AC297-I297,2)</f>
        <v>0</v>
      </c>
      <c r="T297" s="42" t="n">
        <f aca="false">ROUND(AD297-J297,2)</f>
        <v>0</v>
      </c>
      <c r="U297" s="42" t="n">
        <f aca="false">ROUND(AE297-K297,2)</f>
        <v>0</v>
      </c>
      <c r="V297" s="42" t="n">
        <f aca="false">ROUND(AF297-L297,2)</f>
        <v>0</v>
      </c>
      <c r="W297" s="42" t="n">
        <f aca="false">ROUND(AG297-M297,2)</f>
        <v>0</v>
      </c>
      <c r="X297" s="42" t="n">
        <f aca="false">ROUND(AH297-N297,2)</f>
        <v>0</v>
      </c>
      <c r="Y297" s="42" t="n">
        <f aca="false">ROUND(AI297-O297,2)</f>
        <v>0</v>
      </c>
      <c r="Z297" s="56" t="n">
        <f aca="false">ROUND(P296*(1+N(Debts!$D$5)/12),2)</f>
        <v>0</v>
      </c>
      <c r="AA297" s="56" t="n">
        <f aca="false">ROUND(Q296*(1+N(Debts!$D$6)/12),2)</f>
        <v>0</v>
      </c>
      <c r="AB297" s="56" t="n">
        <f aca="false">ROUND(R296*(1+N(Debts!$D$7)/12),2)</f>
        <v>0</v>
      </c>
      <c r="AC297" s="56" t="n">
        <f aca="false">ROUND(S296*(1+N(Debts!$D$8)/12),2)</f>
        <v>0</v>
      </c>
      <c r="AD297" s="56" t="n">
        <f aca="false">ROUND(T296*(1+N(Debts!$D$9)/12),2)</f>
        <v>0</v>
      </c>
      <c r="AE297" s="56" t="n">
        <f aca="false">ROUND(U296*(1+N(Debts!$D$10)/12),2)</f>
        <v>0</v>
      </c>
      <c r="AF297" s="56" t="n">
        <f aca="false">ROUND(V296*(1+N(Debts!$D$11)/12),2)</f>
        <v>0</v>
      </c>
      <c r="AG297" s="56" t="n">
        <f aca="false">ROUND(W296*(1+N(Debts!$D$12)/12),2)</f>
        <v>0</v>
      </c>
      <c r="AH297" s="56" t="n">
        <f aca="false">ROUND(X296*(1+N(Debts!$D$13)/12),2)</f>
        <v>0</v>
      </c>
      <c r="AI297" s="56" t="n">
        <f aca="false">ROUND(Y296*(1+N(Debts!$D$14)/12),2)</f>
        <v>0</v>
      </c>
      <c r="AJ297" s="56" t="n">
        <f aca="false">MIN(Z297,MAX(0,N(Debts!$E$5)))</f>
        <v>0</v>
      </c>
      <c r="AK297" s="56" t="n">
        <f aca="false">MIN(AA297,MAX(0,N(Debts!$E$6)))</f>
        <v>0</v>
      </c>
      <c r="AL297" s="56" t="n">
        <f aca="false">MIN(AB297,MAX(0,N(Debts!$E$7)))</f>
        <v>0</v>
      </c>
      <c r="AM297" s="56" t="n">
        <f aca="false">MIN(AC297,MAX(0,N(Debts!$E$8)))</f>
        <v>0</v>
      </c>
      <c r="AN297" s="56" t="n">
        <f aca="false">MIN(AD297,MAX(0,N(Debts!$E$9)))</f>
        <v>0</v>
      </c>
      <c r="AO297" s="56" t="n">
        <f aca="false">MIN(AE297,MAX(0,N(Debts!$E$10)))</f>
        <v>0</v>
      </c>
      <c r="AP297" s="56" t="n">
        <f aca="false">MIN(AF297,MAX(0,N(Debts!$E$11)))</f>
        <v>0</v>
      </c>
      <c r="AQ297" s="56" t="n">
        <f aca="false">MIN(AG297,MAX(0,N(Debts!$E$12)))</f>
        <v>0</v>
      </c>
      <c r="AR297" s="56" t="n">
        <f aca="false">MIN(AH297,MAX(0,N(Debts!$E$13)))</f>
        <v>0</v>
      </c>
      <c r="AS297" s="56" t="n">
        <f aca="false">MIN(AI297,MAX(0,N(Debts!$E$14)))</f>
        <v>0</v>
      </c>
    </row>
    <row r="298" customFormat="false" ht="15" hidden="false" customHeight="false" outlineLevel="0" collapsed="false">
      <c r="A298" s="53" t="n">
        <v>294</v>
      </c>
      <c r="B298" s="54" t="n">
        <f aca="false">EDATE('Start Here'!$B$8,293)</f>
        <v>55244</v>
      </c>
      <c r="C298" s="42" t="n">
        <f aca="false">SUM(F298:O298)</f>
        <v>0</v>
      </c>
      <c r="D298" s="42" t="n">
        <f aca="false">ROUND(SUM($Z298:$AI298)-SUM(P297:Y297),2)</f>
        <v>0</v>
      </c>
      <c r="E298" s="55" t="n">
        <f aca="false">SUM(P298:Y298)</f>
        <v>0</v>
      </c>
      <c r="F298" s="42" t="n">
        <f aca="false">AJ298+MIN(Z298-AJ298,MAX(0,'Start Here'!$B$10-SUM($AJ298:$AS298)-SUMPRODUCT(($Z$3:$AI$3&lt;Z$3)*($Z298:$AI298-$AJ298:$AS298))))</f>
        <v>0</v>
      </c>
      <c r="G298" s="42" t="n">
        <f aca="false">AK298+MIN(AA298-AK298,MAX(0,'Start Here'!$B$10-SUM($AJ298:$AS298)-SUMPRODUCT(($Z$3:$AI$3&lt;AA$3)*($Z298:$AI298-$AJ298:$AS298))))</f>
        <v>0</v>
      </c>
      <c r="H298" s="42" t="n">
        <f aca="false">AL298+MIN(AB298-AL298,MAX(0,'Start Here'!$B$10-SUM($AJ298:$AS298)-SUMPRODUCT(($Z$3:$AI$3&lt;AB$3)*($Z298:$AI298-$AJ298:$AS298))))</f>
        <v>0</v>
      </c>
      <c r="I298" s="42" t="n">
        <f aca="false">AM298+MIN(AC298-AM298,MAX(0,'Start Here'!$B$10-SUM($AJ298:$AS298)-SUMPRODUCT(($Z$3:$AI$3&lt;AC$3)*($Z298:$AI298-$AJ298:$AS298))))</f>
        <v>0</v>
      </c>
      <c r="J298" s="42" t="n">
        <f aca="false">AN298+MIN(AD298-AN298,MAX(0,'Start Here'!$B$10-SUM($AJ298:$AS298)-SUMPRODUCT(($Z$3:$AI$3&lt;AD$3)*($Z298:$AI298-$AJ298:$AS298))))</f>
        <v>0</v>
      </c>
      <c r="K298" s="42" t="n">
        <f aca="false">AO298+MIN(AE298-AO298,MAX(0,'Start Here'!$B$10-SUM($AJ298:$AS298)-SUMPRODUCT(($Z$3:$AI$3&lt;AE$3)*($Z298:$AI298-$AJ298:$AS298))))</f>
        <v>0</v>
      </c>
      <c r="L298" s="42" t="n">
        <f aca="false">AP298+MIN(AF298-AP298,MAX(0,'Start Here'!$B$10-SUM($AJ298:$AS298)-SUMPRODUCT(($Z$3:$AI$3&lt;AF$3)*($Z298:$AI298-$AJ298:$AS298))))</f>
        <v>0</v>
      </c>
      <c r="M298" s="42" t="n">
        <f aca="false">AQ298+MIN(AG298-AQ298,MAX(0,'Start Here'!$B$10-SUM($AJ298:$AS298)-SUMPRODUCT(($Z$3:$AI$3&lt;AG$3)*($Z298:$AI298-$AJ298:$AS298))))</f>
        <v>0</v>
      </c>
      <c r="N298" s="42" t="n">
        <f aca="false">AR298+MIN(AH298-AR298,MAX(0,'Start Here'!$B$10-SUM($AJ298:$AS298)-SUMPRODUCT(($Z$3:$AI$3&lt;AH$3)*($Z298:$AI298-$AJ298:$AS298))))</f>
        <v>0</v>
      </c>
      <c r="O298" s="42" t="n">
        <f aca="false">AS298+MIN(AI298-AS298,MAX(0,'Start Here'!$B$10-SUM($AJ298:$AS298)-SUMPRODUCT(($Z$3:$AI$3&lt;AI$3)*($Z298:$AI298-$AJ298:$AS298))))</f>
        <v>0</v>
      </c>
      <c r="P298" s="42" t="n">
        <f aca="false">ROUND(Z298-F298,2)</f>
        <v>0</v>
      </c>
      <c r="Q298" s="42" t="n">
        <f aca="false">ROUND(AA298-G298,2)</f>
        <v>0</v>
      </c>
      <c r="R298" s="42" t="n">
        <f aca="false">ROUND(AB298-H298,2)</f>
        <v>0</v>
      </c>
      <c r="S298" s="42" t="n">
        <f aca="false">ROUND(AC298-I298,2)</f>
        <v>0</v>
      </c>
      <c r="T298" s="42" t="n">
        <f aca="false">ROUND(AD298-J298,2)</f>
        <v>0</v>
      </c>
      <c r="U298" s="42" t="n">
        <f aca="false">ROUND(AE298-K298,2)</f>
        <v>0</v>
      </c>
      <c r="V298" s="42" t="n">
        <f aca="false">ROUND(AF298-L298,2)</f>
        <v>0</v>
      </c>
      <c r="W298" s="42" t="n">
        <f aca="false">ROUND(AG298-M298,2)</f>
        <v>0</v>
      </c>
      <c r="X298" s="42" t="n">
        <f aca="false">ROUND(AH298-N298,2)</f>
        <v>0</v>
      </c>
      <c r="Y298" s="42" t="n">
        <f aca="false">ROUND(AI298-O298,2)</f>
        <v>0</v>
      </c>
      <c r="Z298" s="56" t="n">
        <f aca="false">ROUND(P297*(1+N(Debts!$D$5)/12),2)</f>
        <v>0</v>
      </c>
      <c r="AA298" s="56" t="n">
        <f aca="false">ROUND(Q297*(1+N(Debts!$D$6)/12),2)</f>
        <v>0</v>
      </c>
      <c r="AB298" s="56" t="n">
        <f aca="false">ROUND(R297*(1+N(Debts!$D$7)/12),2)</f>
        <v>0</v>
      </c>
      <c r="AC298" s="56" t="n">
        <f aca="false">ROUND(S297*(1+N(Debts!$D$8)/12),2)</f>
        <v>0</v>
      </c>
      <c r="AD298" s="56" t="n">
        <f aca="false">ROUND(T297*(1+N(Debts!$D$9)/12),2)</f>
        <v>0</v>
      </c>
      <c r="AE298" s="56" t="n">
        <f aca="false">ROUND(U297*(1+N(Debts!$D$10)/12),2)</f>
        <v>0</v>
      </c>
      <c r="AF298" s="56" t="n">
        <f aca="false">ROUND(V297*(1+N(Debts!$D$11)/12),2)</f>
        <v>0</v>
      </c>
      <c r="AG298" s="56" t="n">
        <f aca="false">ROUND(W297*(1+N(Debts!$D$12)/12),2)</f>
        <v>0</v>
      </c>
      <c r="AH298" s="56" t="n">
        <f aca="false">ROUND(X297*(1+N(Debts!$D$13)/12),2)</f>
        <v>0</v>
      </c>
      <c r="AI298" s="56" t="n">
        <f aca="false">ROUND(Y297*(1+N(Debts!$D$14)/12),2)</f>
        <v>0</v>
      </c>
      <c r="AJ298" s="56" t="n">
        <f aca="false">MIN(Z298,MAX(0,N(Debts!$E$5)))</f>
        <v>0</v>
      </c>
      <c r="AK298" s="56" t="n">
        <f aca="false">MIN(AA298,MAX(0,N(Debts!$E$6)))</f>
        <v>0</v>
      </c>
      <c r="AL298" s="56" t="n">
        <f aca="false">MIN(AB298,MAX(0,N(Debts!$E$7)))</f>
        <v>0</v>
      </c>
      <c r="AM298" s="56" t="n">
        <f aca="false">MIN(AC298,MAX(0,N(Debts!$E$8)))</f>
        <v>0</v>
      </c>
      <c r="AN298" s="56" t="n">
        <f aca="false">MIN(AD298,MAX(0,N(Debts!$E$9)))</f>
        <v>0</v>
      </c>
      <c r="AO298" s="56" t="n">
        <f aca="false">MIN(AE298,MAX(0,N(Debts!$E$10)))</f>
        <v>0</v>
      </c>
      <c r="AP298" s="56" t="n">
        <f aca="false">MIN(AF298,MAX(0,N(Debts!$E$11)))</f>
        <v>0</v>
      </c>
      <c r="AQ298" s="56" t="n">
        <f aca="false">MIN(AG298,MAX(0,N(Debts!$E$12)))</f>
        <v>0</v>
      </c>
      <c r="AR298" s="56" t="n">
        <f aca="false">MIN(AH298,MAX(0,N(Debts!$E$13)))</f>
        <v>0</v>
      </c>
      <c r="AS298" s="56" t="n">
        <f aca="false">MIN(AI298,MAX(0,N(Debts!$E$14)))</f>
        <v>0</v>
      </c>
    </row>
    <row r="299" customFormat="false" ht="15" hidden="false" customHeight="false" outlineLevel="0" collapsed="false">
      <c r="A299" s="53" t="n">
        <v>295</v>
      </c>
      <c r="B299" s="54" t="n">
        <f aca="false">EDATE('Start Here'!$B$8,294)</f>
        <v>55274</v>
      </c>
      <c r="C299" s="42" t="n">
        <f aca="false">SUM(F299:O299)</f>
        <v>0</v>
      </c>
      <c r="D299" s="42" t="n">
        <f aca="false">ROUND(SUM($Z299:$AI299)-SUM(P298:Y298),2)</f>
        <v>0</v>
      </c>
      <c r="E299" s="55" t="n">
        <f aca="false">SUM(P299:Y299)</f>
        <v>0</v>
      </c>
      <c r="F299" s="42" t="n">
        <f aca="false">AJ299+MIN(Z299-AJ299,MAX(0,'Start Here'!$B$10-SUM($AJ299:$AS299)-SUMPRODUCT(($Z$3:$AI$3&lt;Z$3)*($Z299:$AI299-$AJ299:$AS299))))</f>
        <v>0</v>
      </c>
      <c r="G299" s="42" t="n">
        <f aca="false">AK299+MIN(AA299-AK299,MAX(0,'Start Here'!$B$10-SUM($AJ299:$AS299)-SUMPRODUCT(($Z$3:$AI$3&lt;AA$3)*($Z299:$AI299-$AJ299:$AS299))))</f>
        <v>0</v>
      </c>
      <c r="H299" s="42" t="n">
        <f aca="false">AL299+MIN(AB299-AL299,MAX(0,'Start Here'!$B$10-SUM($AJ299:$AS299)-SUMPRODUCT(($Z$3:$AI$3&lt;AB$3)*($Z299:$AI299-$AJ299:$AS299))))</f>
        <v>0</v>
      </c>
      <c r="I299" s="42" t="n">
        <f aca="false">AM299+MIN(AC299-AM299,MAX(0,'Start Here'!$B$10-SUM($AJ299:$AS299)-SUMPRODUCT(($Z$3:$AI$3&lt;AC$3)*($Z299:$AI299-$AJ299:$AS299))))</f>
        <v>0</v>
      </c>
      <c r="J299" s="42" t="n">
        <f aca="false">AN299+MIN(AD299-AN299,MAX(0,'Start Here'!$B$10-SUM($AJ299:$AS299)-SUMPRODUCT(($Z$3:$AI$3&lt;AD$3)*($Z299:$AI299-$AJ299:$AS299))))</f>
        <v>0</v>
      </c>
      <c r="K299" s="42" t="n">
        <f aca="false">AO299+MIN(AE299-AO299,MAX(0,'Start Here'!$B$10-SUM($AJ299:$AS299)-SUMPRODUCT(($Z$3:$AI$3&lt;AE$3)*($Z299:$AI299-$AJ299:$AS299))))</f>
        <v>0</v>
      </c>
      <c r="L299" s="42" t="n">
        <f aca="false">AP299+MIN(AF299-AP299,MAX(0,'Start Here'!$B$10-SUM($AJ299:$AS299)-SUMPRODUCT(($Z$3:$AI$3&lt;AF$3)*($Z299:$AI299-$AJ299:$AS299))))</f>
        <v>0</v>
      </c>
      <c r="M299" s="42" t="n">
        <f aca="false">AQ299+MIN(AG299-AQ299,MAX(0,'Start Here'!$B$10-SUM($AJ299:$AS299)-SUMPRODUCT(($Z$3:$AI$3&lt;AG$3)*($Z299:$AI299-$AJ299:$AS299))))</f>
        <v>0</v>
      </c>
      <c r="N299" s="42" t="n">
        <f aca="false">AR299+MIN(AH299-AR299,MAX(0,'Start Here'!$B$10-SUM($AJ299:$AS299)-SUMPRODUCT(($Z$3:$AI$3&lt;AH$3)*($Z299:$AI299-$AJ299:$AS299))))</f>
        <v>0</v>
      </c>
      <c r="O299" s="42" t="n">
        <f aca="false">AS299+MIN(AI299-AS299,MAX(0,'Start Here'!$B$10-SUM($AJ299:$AS299)-SUMPRODUCT(($Z$3:$AI$3&lt;AI$3)*($Z299:$AI299-$AJ299:$AS299))))</f>
        <v>0</v>
      </c>
      <c r="P299" s="42" t="n">
        <f aca="false">ROUND(Z299-F299,2)</f>
        <v>0</v>
      </c>
      <c r="Q299" s="42" t="n">
        <f aca="false">ROUND(AA299-G299,2)</f>
        <v>0</v>
      </c>
      <c r="R299" s="42" t="n">
        <f aca="false">ROUND(AB299-H299,2)</f>
        <v>0</v>
      </c>
      <c r="S299" s="42" t="n">
        <f aca="false">ROUND(AC299-I299,2)</f>
        <v>0</v>
      </c>
      <c r="T299" s="42" t="n">
        <f aca="false">ROUND(AD299-J299,2)</f>
        <v>0</v>
      </c>
      <c r="U299" s="42" t="n">
        <f aca="false">ROUND(AE299-K299,2)</f>
        <v>0</v>
      </c>
      <c r="V299" s="42" t="n">
        <f aca="false">ROUND(AF299-L299,2)</f>
        <v>0</v>
      </c>
      <c r="W299" s="42" t="n">
        <f aca="false">ROUND(AG299-M299,2)</f>
        <v>0</v>
      </c>
      <c r="X299" s="42" t="n">
        <f aca="false">ROUND(AH299-N299,2)</f>
        <v>0</v>
      </c>
      <c r="Y299" s="42" t="n">
        <f aca="false">ROUND(AI299-O299,2)</f>
        <v>0</v>
      </c>
      <c r="Z299" s="56" t="n">
        <f aca="false">ROUND(P298*(1+N(Debts!$D$5)/12),2)</f>
        <v>0</v>
      </c>
      <c r="AA299" s="56" t="n">
        <f aca="false">ROUND(Q298*(1+N(Debts!$D$6)/12),2)</f>
        <v>0</v>
      </c>
      <c r="AB299" s="56" t="n">
        <f aca="false">ROUND(R298*(1+N(Debts!$D$7)/12),2)</f>
        <v>0</v>
      </c>
      <c r="AC299" s="56" t="n">
        <f aca="false">ROUND(S298*(1+N(Debts!$D$8)/12),2)</f>
        <v>0</v>
      </c>
      <c r="AD299" s="56" t="n">
        <f aca="false">ROUND(T298*(1+N(Debts!$D$9)/12),2)</f>
        <v>0</v>
      </c>
      <c r="AE299" s="56" t="n">
        <f aca="false">ROUND(U298*(1+N(Debts!$D$10)/12),2)</f>
        <v>0</v>
      </c>
      <c r="AF299" s="56" t="n">
        <f aca="false">ROUND(V298*(1+N(Debts!$D$11)/12),2)</f>
        <v>0</v>
      </c>
      <c r="AG299" s="56" t="n">
        <f aca="false">ROUND(W298*(1+N(Debts!$D$12)/12),2)</f>
        <v>0</v>
      </c>
      <c r="AH299" s="56" t="n">
        <f aca="false">ROUND(X298*(1+N(Debts!$D$13)/12),2)</f>
        <v>0</v>
      </c>
      <c r="AI299" s="56" t="n">
        <f aca="false">ROUND(Y298*(1+N(Debts!$D$14)/12),2)</f>
        <v>0</v>
      </c>
      <c r="AJ299" s="56" t="n">
        <f aca="false">MIN(Z299,MAX(0,N(Debts!$E$5)))</f>
        <v>0</v>
      </c>
      <c r="AK299" s="56" t="n">
        <f aca="false">MIN(AA299,MAX(0,N(Debts!$E$6)))</f>
        <v>0</v>
      </c>
      <c r="AL299" s="56" t="n">
        <f aca="false">MIN(AB299,MAX(0,N(Debts!$E$7)))</f>
        <v>0</v>
      </c>
      <c r="AM299" s="56" t="n">
        <f aca="false">MIN(AC299,MAX(0,N(Debts!$E$8)))</f>
        <v>0</v>
      </c>
      <c r="AN299" s="56" t="n">
        <f aca="false">MIN(AD299,MAX(0,N(Debts!$E$9)))</f>
        <v>0</v>
      </c>
      <c r="AO299" s="56" t="n">
        <f aca="false">MIN(AE299,MAX(0,N(Debts!$E$10)))</f>
        <v>0</v>
      </c>
      <c r="AP299" s="56" t="n">
        <f aca="false">MIN(AF299,MAX(0,N(Debts!$E$11)))</f>
        <v>0</v>
      </c>
      <c r="AQ299" s="56" t="n">
        <f aca="false">MIN(AG299,MAX(0,N(Debts!$E$12)))</f>
        <v>0</v>
      </c>
      <c r="AR299" s="56" t="n">
        <f aca="false">MIN(AH299,MAX(0,N(Debts!$E$13)))</f>
        <v>0</v>
      </c>
      <c r="AS299" s="56" t="n">
        <f aca="false">MIN(AI299,MAX(0,N(Debts!$E$14)))</f>
        <v>0</v>
      </c>
    </row>
    <row r="300" customFormat="false" ht="15" hidden="false" customHeight="false" outlineLevel="0" collapsed="false">
      <c r="A300" s="53" t="n">
        <v>296</v>
      </c>
      <c r="B300" s="54" t="n">
        <f aca="false">EDATE('Start Here'!$B$8,295)</f>
        <v>55305</v>
      </c>
      <c r="C300" s="42" t="n">
        <f aca="false">SUM(F300:O300)</f>
        <v>0</v>
      </c>
      <c r="D300" s="42" t="n">
        <f aca="false">ROUND(SUM($Z300:$AI300)-SUM(P299:Y299),2)</f>
        <v>0</v>
      </c>
      <c r="E300" s="55" t="n">
        <f aca="false">SUM(P300:Y300)</f>
        <v>0</v>
      </c>
      <c r="F300" s="42" t="n">
        <f aca="false">AJ300+MIN(Z300-AJ300,MAX(0,'Start Here'!$B$10-SUM($AJ300:$AS300)-SUMPRODUCT(($Z$3:$AI$3&lt;Z$3)*($Z300:$AI300-$AJ300:$AS300))))</f>
        <v>0</v>
      </c>
      <c r="G300" s="42" t="n">
        <f aca="false">AK300+MIN(AA300-AK300,MAX(0,'Start Here'!$B$10-SUM($AJ300:$AS300)-SUMPRODUCT(($Z$3:$AI$3&lt;AA$3)*($Z300:$AI300-$AJ300:$AS300))))</f>
        <v>0</v>
      </c>
      <c r="H300" s="42" t="n">
        <f aca="false">AL300+MIN(AB300-AL300,MAX(0,'Start Here'!$B$10-SUM($AJ300:$AS300)-SUMPRODUCT(($Z$3:$AI$3&lt;AB$3)*($Z300:$AI300-$AJ300:$AS300))))</f>
        <v>0</v>
      </c>
      <c r="I300" s="42" t="n">
        <f aca="false">AM300+MIN(AC300-AM300,MAX(0,'Start Here'!$B$10-SUM($AJ300:$AS300)-SUMPRODUCT(($Z$3:$AI$3&lt;AC$3)*($Z300:$AI300-$AJ300:$AS300))))</f>
        <v>0</v>
      </c>
      <c r="J300" s="42" t="n">
        <f aca="false">AN300+MIN(AD300-AN300,MAX(0,'Start Here'!$B$10-SUM($AJ300:$AS300)-SUMPRODUCT(($Z$3:$AI$3&lt;AD$3)*($Z300:$AI300-$AJ300:$AS300))))</f>
        <v>0</v>
      </c>
      <c r="K300" s="42" t="n">
        <f aca="false">AO300+MIN(AE300-AO300,MAX(0,'Start Here'!$B$10-SUM($AJ300:$AS300)-SUMPRODUCT(($Z$3:$AI$3&lt;AE$3)*($Z300:$AI300-$AJ300:$AS300))))</f>
        <v>0</v>
      </c>
      <c r="L300" s="42" t="n">
        <f aca="false">AP300+MIN(AF300-AP300,MAX(0,'Start Here'!$B$10-SUM($AJ300:$AS300)-SUMPRODUCT(($Z$3:$AI$3&lt;AF$3)*($Z300:$AI300-$AJ300:$AS300))))</f>
        <v>0</v>
      </c>
      <c r="M300" s="42" t="n">
        <f aca="false">AQ300+MIN(AG300-AQ300,MAX(0,'Start Here'!$B$10-SUM($AJ300:$AS300)-SUMPRODUCT(($Z$3:$AI$3&lt;AG$3)*($Z300:$AI300-$AJ300:$AS300))))</f>
        <v>0</v>
      </c>
      <c r="N300" s="42" t="n">
        <f aca="false">AR300+MIN(AH300-AR300,MAX(0,'Start Here'!$B$10-SUM($AJ300:$AS300)-SUMPRODUCT(($Z$3:$AI$3&lt;AH$3)*($Z300:$AI300-$AJ300:$AS300))))</f>
        <v>0</v>
      </c>
      <c r="O300" s="42" t="n">
        <f aca="false">AS300+MIN(AI300-AS300,MAX(0,'Start Here'!$B$10-SUM($AJ300:$AS300)-SUMPRODUCT(($Z$3:$AI$3&lt;AI$3)*($Z300:$AI300-$AJ300:$AS300))))</f>
        <v>0</v>
      </c>
      <c r="P300" s="42" t="n">
        <f aca="false">ROUND(Z300-F300,2)</f>
        <v>0</v>
      </c>
      <c r="Q300" s="42" t="n">
        <f aca="false">ROUND(AA300-G300,2)</f>
        <v>0</v>
      </c>
      <c r="R300" s="42" t="n">
        <f aca="false">ROUND(AB300-H300,2)</f>
        <v>0</v>
      </c>
      <c r="S300" s="42" t="n">
        <f aca="false">ROUND(AC300-I300,2)</f>
        <v>0</v>
      </c>
      <c r="T300" s="42" t="n">
        <f aca="false">ROUND(AD300-J300,2)</f>
        <v>0</v>
      </c>
      <c r="U300" s="42" t="n">
        <f aca="false">ROUND(AE300-K300,2)</f>
        <v>0</v>
      </c>
      <c r="V300" s="42" t="n">
        <f aca="false">ROUND(AF300-L300,2)</f>
        <v>0</v>
      </c>
      <c r="W300" s="42" t="n">
        <f aca="false">ROUND(AG300-M300,2)</f>
        <v>0</v>
      </c>
      <c r="X300" s="42" t="n">
        <f aca="false">ROUND(AH300-N300,2)</f>
        <v>0</v>
      </c>
      <c r="Y300" s="42" t="n">
        <f aca="false">ROUND(AI300-O300,2)</f>
        <v>0</v>
      </c>
      <c r="Z300" s="56" t="n">
        <f aca="false">ROUND(P299*(1+N(Debts!$D$5)/12),2)</f>
        <v>0</v>
      </c>
      <c r="AA300" s="56" t="n">
        <f aca="false">ROUND(Q299*(1+N(Debts!$D$6)/12),2)</f>
        <v>0</v>
      </c>
      <c r="AB300" s="56" t="n">
        <f aca="false">ROUND(R299*(1+N(Debts!$D$7)/12),2)</f>
        <v>0</v>
      </c>
      <c r="AC300" s="56" t="n">
        <f aca="false">ROUND(S299*(1+N(Debts!$D$8)/12),2)</f>
        <v>0</v>
      </c>
      <c r="AD300" s="56" t="n">
        <f aca="false">ROUND(T299*(1+N(Debts!$D$9)/12),2)</f>
        <v>0</v>
      </c>
      <c r="AE300" s="56" t="n">
        <f aca="false">ROUND(U299*(1+N(Debts!$D$10)/12),2)</f>
        <v>0</v>
      </c>
      <c r="AF300" s="56" t="n">
        <f aca="false">ROUND(V299*(1+N(Debts!$D$11)/12),2)</f>
        <v>0</v>
      </c>
      <c r="AG300" s="56" t="n">
        <f aca="false">ROUND(W299*(1+N(Debts!$D$12)/12),2)</f>
        <v>0</v>
      </c>
      <c r="AH300" s="56" t="n">
        <f aca="false">ROUND(X299*(1+N(Debts!$D$13)/12),2)</f>
        <v>0</v>
      </c>
      <c r="AI300" s="56" t="n">
        <f aca="false">ROUND(Y299*(1+N(Debts!$D$14)/12),2)</f>
        <v>0</v>
      </c>
      <c r="AJ300" s="56" t="n">
        <f aca="false">MIN(Z300,MAX(0,N(Debts!$E$5)))</f>
        <v>0</v>
      </c>
      <c r="AK300" s="56" t="n">
        <f aca="false">MIN(AA300,MAX(0,N(Debts!$E$6)))</f>
        <v>0</v>
      </c>
      <c r="AL300" s="56" t="n">
        <f aca="false">MIN(AB300,MAX(0,N(Debts!$E$7)))</f>
        <v>0</v>
      </c>
      <c r="AM300" s="56" t="n">
        <f aca="false">MIN(AC300,MAX(0,N(Debts!$E$8)))</f>
        <v>0</v>
      </c>
      <c r="AN300" s="56" t="n">
        <f aca="false">MIN(AD300,MAX(0,N(Debts!$E$9)))</f>
        <v>0</v>
      </c>
      <c r="AO300" s="56" t="n">
        <f aca="false">MIN(AE300,MAX(0,N(Debts!$E$10)))</f>
        <v>0</v>
      </c>
      <c r="AP300" s="56" t="n">
        <f aca="false">MIN(AF300,MAX(0,N(Debts!$E$11)))</f>
        <v>0</v>
      </c>
      <c r="AQ300" s="56" t="n">
        <f aca="false">MIN(AG300,MAX(0,N(Debts!$E$12)))</f>
        <v>0</v>
      </c>
      <c r="AR300" s="56" t="n">
        <f aca="false">MIN(AH300,MAX(0,N(Debts!$E$13)))</f>
        <v>0</v>
      </c>
      <c r="AS300" s="56" t="n">
        <f aca="false">MIN(AI300,MAX(0,N(Debts!$E$14)))</f>
        <v>0</v>
      </c>
    </row>
    <row r="301" customFormat="false" ht="15" hidden="false" customHeight="false" outlineLevel="0" collapsed="false">
      <c r="A301" s="53" t="n">
        <v>297</v>
      </c>
      <c r="B301" s="54" t="n">
        <f aca="false">EDATE('Start Here'!$B$8,296)</f>
        <v>55335</v>
      </c>
      <c r="C301" s="42" t="n">
        <f aca="false">SUM(F301:O301)</f>
        <v>0</v>
      </c>
      <c r="D301" s="42" t="n">
        <f aca="false">ROUND(SUM($Z301:$AI301)-SUM(P300:Y300),2)</f>
        <v>0</v>
      </c>
      <c r="E301" s="55" t="n">
        <f aca="false">SUM(P301:Y301)</f>
        <v>0</v>
      </c>
      <c r="F301" s="42" t="n">
        <f aca="false">AJ301+MIN(Z301-AJ301,MAX(0,'Start Here'!$B$10-SUM($AJ301:$AS301)-SUMPRODUCT(($Z$3:$AI$3&lt;Z$3)*($Z301:$AI301-$AJ301:$AS301))))</f>
        <v>0</v>
      </c>
      <c r="G301" s="42" t="n">
        <f aca="false">AK301+MIN(AA301-AK301,MAX(0,'Start Here'!$B$10-SUM($AJ301:$AS301)-SUMPRODUCT(($Z$3:$AI$3&lt;AA$3)*($Z301:$AI301-$AJ301:$AS301))))</f>
        <v>0</v>
      </c>
      <c r="H301" s="42" t="n">
        <f aca="false">AL301+MIN(AB301-AL301,MAX(0,'Start Here'!$B$10-SUM($AJ301:$AS301)-SUMPRODUCT(($Z$3:$AI$3&lt;AB$3)*($Z301:$AI301-$AJ301:$AS301))))</f>
        <v>0</v>
      </c>
      <c r="I301" s="42" t="n">
        <f aca="false">AM301+MIN(AC301-AM301,MAX(0,'Start Here'!$B$10-SUM($AJ301:$AS301)-SUMPRODUCT(($Z$3:$AI$3&lt;AC$3)*($Z301:$AI301-$AJ301:$AS301))))</f>
        <v>0</v>
      </c>
      <c r="J301" s="42" t="n">
        <f aca="false">AN301+MIN(AD301-AN301,MAX(0,'Start Here'!$B$10-SUM($AJ301:$AS301)-SUMPRODUCT(($Z$3:$AI$3&lt;AD$3)*($Z301:$AI301-$AJ301:$AS301))))</f>
        <v>0</v>
      </c>
      <c r="K301" s="42" t="n">
        <f aca="false">AO301+MIN(AE301-AO301,MAX(0,'Start Here'!$B$10-SUM($AJ301:$AS301)-SUMPRODUCT(($Z$3:$AI$3&lt;AE$3)*($Z301:$AI301-$AJ301:$AS301))))</f>
        <v>0</v>
      </c>
      <c r="L301" s="42" t="n">
        <f aca="false">AP301+MIN(AF301-AP301,MAX(0,'Start Here'!$B$10-SUM($AJ301:$AS301)-SUMPRODUCT(($Z$3:$AI$3&lt;AF$3)*($Z301:$AI301-$AJ301:$AS301))))</f>
        <v>0</v>
      </c>
      <c r="M301" s="42" t="n">
        <f aca="false">AQ301+MIN(AG301-AQ301,MAX(0,'Start Here'!$B$10-SUM($AJ301:$AS301)-SUMPRODUCT(($Z$3:$AI$3&lt;AG$3)*($Z301:$AI301-$AJ301:$AS301))))</f>
        <v>0</v>
      </c>
      <c r="N301" s="42" t="n">
        <f aca="false">AR301+MIN(AH301-AR301,MAX(0,'Start Here'!$B$10-SUM($AJ301:$AS301)-SUMPRODUCT(($Z$3:$AI$3&lt;AH$3)*($Z301:$AI301-$AJ301:$AS301))))</f>
        <v>0</v>
      </c>
      <c r="O301" s="42" t="n">
        <f aca="false">AS301+MIN(AI301-AS301,MAX(0,'Start Here'!$B$10-SUM($AJ301:$AS301)-SUMPRODUCT(($Z$3:$AI$3&lt;AI$3)*($Z301:$AI301-$AJ301:$AS301))))</f>
        <v>0</v>
      </c>
      <c r="P301" s="42" t="n">
        <f aca="false">ROUND(Z301-F301,2)</f>
        <v>0</v>
      </c>
      <c r="Q301" s="42" t="n">
        <f aca="false">ROUND(AA301-G301,2)</f>
        <v>0</v>
      </c>
      <c r="R301" s="42" t="n">
        <f aca="false">ROUND(AB301-H301,2)</f>
        <v>0</v>
      </c>
      <c r="S301" s="42" t="n">
        <f aca="false">ROUND(AC301-I301,2)</f>
        <v>0</v>
      </c>
      <c r="T301" s="42" t="n">
        <f aca="false">ROUND(AD301-J301,2)</f>
        <v>0</v>
      </c>
      <c r="U301" s="42" t="n">
        <f aca="false">ROUND(AE301-K301,2)</f>
        <v>0</v>
      </c>
      <c r="V301" s="42" t="n">
        <f aca="false">ROUND(AF301-L301,2)</f>
        <v>0</v>
      </c>
      <c r="W301" s="42" t="n">
        <f aca="false">ROUND(AG301-M301,2)</f>
        <v>0</v>
      </c>
      <c r="X301" s="42" t="n">
        <f aca="false">ROUND(AH301-N301,2)</f>
        <v>0</v>
      </c>
      <c r="Y301" s="42" t="n">
        <f aca="false">ROUND(AI301-O301,2)</f>
        <v>0</v>
      </c>
      <c r="Z301" s="56" t="n">
        <f aca="false">ROUND(P300*(1+N(Debts!$D$5)/12),2)</f>
        <v>0</v>
      </c>
      <c r="AA301" s="56" t="n">
        <f aca="false">ROUND(Q300*(1+N(Debts!$D$6)/12),2)</f>
        <v>0</v>
      </c>
      <c r="AB301" s="56" t="n">
        <f aca="false">ROUND(R300*(1+N(Debts!$D$7)/12),2)</f>
        <v>0</v>
      </c>
      <c r="AC301" s="56" t="n">
        <f aca="false">ROUND(S300*(1+N(Debts!$D$8)/12),2)</f>
        <v>0</v>
      </c>
      <c r="AD301" s="56" t="n">
        <f aca="false">ROUND(T300*(1+N(Debts!$D$9)/12),2)</f>
        <v>0</v>
      </c>
      <c r="AE301" s="56" t="n">
        <f aca="false">ROUND(U300*(1+N(Debts!$D$10)/12),2)</f>
        <v>0</v>
      </c>
      <c r="AF301" s="56" t="n">
        <f aca="false">ROUND(V300*(1+N(Debts!$D$11)/12),2)</f>
        <v>0</v>
      </c>
      <c r="AG301" s="56" t="n">
        <f aca="false">ROUND(W300*(1+N(Debts!$D$12)/12),2)</f>
        <v>0</v>
      </c>
      <c r="AH301" s="56" t="n">
        <f aca="false">ROUND(X300*(1+N(Debts!$D$13)/12),2)</f>
        <v>0</v>
      </c>
      <c r="AI301" s="56" t="n">
        <f aca="false">ROUND(Y300*(1+N(Debts!$D$14)/12),2)</f>
        <v>0</v>
      </c>
      <c r="AJ301" s="56" t="n">
        <f aca="false">MIN(Z301,MAX(0,N(Debts!$E$5)))</f>
        <v>0</v>
      </c>
      <c r="AK301" s="56" t="n">
        <f aca="false">MIN(AA301,MAX(0,N(Debts!$E$6)))</f>
        <v>0</v>
      </c>
      <c r="AL301" s="56" t="n">
        <f aca="false">MIN(AB301,MAX(0,N(Debts!$E$7)))</f>
        <v>0</v>
      </c>
      <c r="AM301" s="56" t="n">
        <f aca="false">MIN(AC301,MAX(0,N(Debts!$E$8)))</f>
        <v>0</v>
      </c>
      <c r="AN301" s="56" t="n">
        <f aca="false">MIN(AD301,MAX(0,N(Debts!$E$9)))</f>
        <v>0</v>
      </c>
      <c r="AO301" s="56" t="n">
        <f aca="false">MIN(AE301,MAX(0,N(Debts!$E$10)))</f>
        <v>0</v>
      </c>
      <c r="AP301" s="56" t="n">
        <f aca="false">MIN(AF301,MAX(0,N(Debts!$E$11)))</f>
        <v>0</v>
      </c>
      <c r="AQ301" s="56" t="n">
        <f aca="false">MIN(AG301,MAX(0,N(Debts!$E$12)))</f>
        <v>0</v>
      </c>
      <c r="AR301" s="56" t="n">
        <f aca="false">MIN(AH301,MAX(0,N(Debts!$E$13)))</f>
        <v>0</v>
      </c>
      <c r="AS301" s="56" t="n">
        <f aca="false">MIN(AI301,MAX(0,N(Debts!$E$14)))</f>
        <v>0</v>
      </c>
    </row>
    <row r="302" customFormat="false" ht="15" hidden="false" customHeight="false" outlineLevel="0" collapsed="false">
      <c r="A302" s="53" t="n">
        <v>298</v>
      </c>
      <c r="B302" s="54" t="n">
        <f aca="false">EDATE('Start Here'!$B$8,297)</f>
        <v>55366</v>
      </c>
      <c r="C302" s="42" t="n">
        <f aca="false">SUM(F302:O302)</f>
        <v>0</v>
      </c>
      <c r="D302" s="42" t="n">
        <f aca="false">ROUND(SUM($Z302:$AI302)-SUM(P301:Y301),2)</f>
        <v>0</v>
      </c>
      <c r="E302" s="55" t="n">
        <f aca="false">SUM(P302:Y302)</f>
        <v>0</v>
      </c>
      <c r="F302" s="42" t="n">
        <f aca="false">AJ302+MIN(Z302-AJ302,MAX(0,'Start Here'!$B$10-SUM($AJ302:$AS302)-SUMPRODUCT(($Z$3:$AI$3&lt;Z$3)*($Z302:$AI302-$AJ302:$AS302))))</f>
        <v>0</v>
      </c>
      <c r="G302" s="42" t="n">
        <f aca="false">AK302+MIN(AA302-AK302,MAX(0,'Start Here'!$B$10-SUM($AJ302:$AS302)-SUMPRODUCT(($Z$3:$AI$3&lt;AA$3)*($Z302:$AI302-$AJ302:$AS302))))</f>
        <v>0</v>
      </c>
      <c r="H302" s="42" t="n">
        <f aca="false">AL302+MIN(AB302-AL302,MAX(0,'Start Here'!$B$10-SUM($AJ302:$AS302)-SUMPRODUCT(($Z$3:$AI$3&lt;AB$3)*($Z302:$AI302-$AJ302:$AS302))))</f>
        <v>0</v>
      </c>
      <c r="I302" s="42" t="n">
        <f aca="false">AM302+MIN(AC302-AM302,MAX(0,'Start Here'!$B$10-SUM($AJ302:$AS302)-SUMPRODUCT(($Z$3:$AI$3&lt;AC$3)*($Z302:$AI302-$AJ302:$AS302))))</f>
        <v>0</v>
      </c>
      <c r="J302" s="42" t="n">
        <f aca="false">AN302+MIN(AD302-AN302,MAX(0,'Start Here'!$B$10-SUM($AJ302:$AS302)-SUMPRODUCT(($Z$3:$AI$3&lt;AD$3)*($Z302:$AI302-$AJ302:$AS302))))</f>
        <v>0</v>
      </c>
      <c r="K302" s="42" t="n">
        <f aca="false">AO302+MIN(AE302-AO302,MAX(0,'Start Here'!$B$10-SUM($AJ302:$AS302)-SUMPRODUCT(($Z$3:$AI$3&lt;AE$3)*($Z302:$AI302-$AJ302:$AS302))))</f>
        <v>0</v>
      </c>
      <c r="L302" s="42" t="n">
        <f aca="false">AP302+MIN(AF302-AP302,MAX(0,'Start Here'!$B$10-SUM($AJ302:$AS302)-SUMPRODUCT(($Z$3:$AI$3&lt;AF$3)*($Z302:$AI302-$AJ302:$AS302))))</f>
        <v>0</v>
      </c>
      <c r="M302" s="42" t="n">
        <f aca="false">AQ302+MIN(AG302-AQ302,MAX(0,'Start Here'!$B$10-SUM($AJ302:$AS302)-SUMPRODUCT(($Z$3:$AI$3&lt;AG$3)*($Z302:$AI302-$AJ302:$AS302))))</f>
        <v>0</v>
      </c>
      <c r="N302" s="42" t="n">
        <f aca="false">AR302+MIN(AH302-AR302,MAX(0,'Start Here'!$B$10-SUM($AJ302:$AS302)-SUMPRODUCT(($Z$3:$AI$3&lt;AH$3)*($Z302:$AI302-$AJ302:$AS302))))</f>
        <v>0</v>
      </c>
      <c r="O302" s="42" t="n">
        <f aca="false">AS302+MIN(AI302-AS302,MAX(0,'Start Here'!$B$10-SUM($AJ302:$AS302)-SUMPRODUCT(($Z$3:$AI$3&lt;AI$3)*($Z302:$AI302-$AJ302:$AS302))))</f>
        <v>0</v>
      </c>
      <c r="P302" s="42" t="n">
        <f aca="false">ROUND(Z302-F302,2)</f>
        <v>0</v>
      </c>
      <c r="Q302" s="42" t="n">
        <f aca="false">ROUND(AA302-G302,2)</f>
        <v>0</v>
      </c>
      <c r="R302" s="42" t="n">
        <f aca="false">ROUND(AB302-H302,2)</f>
        <v>0</v>
      </c>
      <c r="S302" s="42" t="n">
        <f aca="false">ROUND(AC302-I302,2)</f>
        <v>0</v>
      </c>
      <c r="T302" s="42" t="n">
        <f aca="false">ROUND(AD302-J302,2)</f>
        <v>0</v>
      </c>
      <c r="U302" s="42" t="n">
        <f aca="false">ROUND(AE302-K302,2)</f>
        <v>0</v>
      </c>
      <c r="V302" s="42" t="n">
        <f aca="false">ROUND(AF302-L302,2)</f>
        <v>0</v>
      </c>
      <c r="W302" s="42" t="n">
        <f aca="false">ROUND(AG302-M302,2)</f>
        <v>0</v>
      </c>
      <c r="X302" s="42" t="n">
        <f aca="false">ROUND(AH302-N302,2)</f>
        <v>0</v>
      </c>
      <c r="Y302" s="42" t="n">
        <f aca="false">ROUND(AI302-O302,2)</f>
        <v>0</v>
      </c>
      <c r="Z302" s="56" t="n">
        <f aca="false">ROUND(P301*(1+N(Debts!$D$5)/12),2)</f>
        <v>0</v>
      </c>
      <c r="AA302" s="56" t="n">
        <f aca="false">ROUND(Q301*(1+N(Debts!$D$6)/12),2)</f>
        <v>0</v>
      </c>
      <c r="AB302" s="56" t="n">
        <f aca="false">ROUND(R301*(1+N(Debts!$D$7)/12),2)</f>
        <v>0</v>
      </c>
      <c r="AC302" s="56" t="n">
        <f aca="false">ROUND(S301*(1+N(Debts!$D$8)/12),2)</f>
        <v>0</v>
      </c>
      <c r="AD302" s="56" t="n">
        <f aca="false">ROUND(T301*(1+N(Debts!$D$9)/12),2)</f>
        <v>0</v>
      </c>
      <c r="AE302" s="56" t="n">
        <f aca="false">ROUND(U301*(1+N(Debts!$D$10)/12),2)</f>
        <v>0</v>
      </c>
      <c r="AF302" s="56" t="n">
        <f aca="false">ROUND(V301*(1+N(Debts!$D$11)/12),2)</f>
        <v>0</v>
      </c>
      <c r="AG302" s="56" t="n">
        <f aca="false">ROUND(W301*(1+N(Debts!$D$12)/12),2)</f>
        <v>0</v>
      </c>
      <c r="AH302" s="56" t="n">
        <f aca="false">ROUND(X301*(1+N(Debts!$D$13)/12),2)</f>
        <v>0</v>
      </c>
      <c r="AI302" s="56" t="n">
        <f aca="false">ROUND(Y301*(1+N(Debts!$D$14)/12),2)</f>
        <v>0</v>
      </c>
      <c r="AJ302" s="56" t="n">
        <f aca="false">MIN(Z302,MAX(0,N(Debts!$E$5)))</f>
        <v>0</v>
      </c>
      <c r="AK302" s="56" t="n">
        <f aca="false">MIN(AA302,MAX(0,N(Debts!$E$6)))</f>
        <v>0</v>
      </c>
      <c r="AL302" s="56" t="n">
        <f aca="false">MIN(AB302,MAX(0,N(Debts!$E$7)))</f>
        <v>0</v>
      </c>
      <c r="AM302" s="56" t="n">
        <f aca="false">MIN(AC302,MAX(0,N(Debts!$E$8)))</f>
        <v>0</v>
      </c>
      <c r="AN302" s="56" t="n">
        <f aca="false">MIN(AD302,MAX(0,N(Debts!$E$9)))</f>
        <v>0</v>
      </c>
      <c r="AO302" s="56" t="n">
        <f aca="false">MIN(AE302,MAX(0,N(Debts!$E$10)))</f>
        <v>0</v>
      </c>
      <c r="AP302" s="56" t="n">
        <f aca="false">MIN(AF302,MAX(0,N(Debts!$E$11)))</f>
        <v>0</v>
      </c>
      <c r="AQ302" s="56" t="n">
        <f aca="false">MIN(AG302,MAX(0,N(Debts!$E$12)))</f>
        <v>0</v>
      </c>
      <c r="AR302" s="56" t="n">
        <f aca="false">MIN(AH302,MAX(0,N(Debts!$E$13)))</f>
        <v>0</v>
      </c>
      <c r="AS302" s="56" t="n">
        <f aca="false">MIN(AI302,MAX(0,N(Debts!$E$14)))</f>
        <v>0</v>
      </c>
    </row>
    <row r="303" customFormat="false" ht="15" hidden="false" customHeight="false" outlineLevel="0" collapsed="false">
      <c r="A303" s="53" t="n">
        <v>299</v>
      </c>
      <c r="B303" s="54" t="n">
        <f aca="false">EDATE('Start Here'!$B$8,298)</f>
        <v>55397</v>
      </c>
      <c r="C303" s="42" t="n">
        <f aca="false">SUM(F303:O303)</f>
        <v>0</v>
      </c>
      <c r="D303" s="42" t="n">
        <f aca="false">ROUND(SUM($Z303:$AI303)-SUM(P302:Y302),2)</f>
        <v>0</v>
      </c>
      <c r="E303" s="55" t="n">
        <f aca="false">SUM(P303:Y303)</f>
        <v>0</v>
      </c>
      <c r="F303" s="42" t="n">
        <f aca="false">AJ303+MIN(Z303-AJ303,MAX(0,'Start Here'!$B$10-SUM($AJ303:$AS303)-SUMPRODUCT(($Z$3:$AI$3&lt;Z$3)*($Z303:$AI303-$AJ303:$AS303))))</f>
        <v>0</v>
      </c>
      <c r="G303" s="42" t="n">
        <f aca="false">AK303+MIN(AA303-AK303,MAX(0,'Start Here'!$B$10-SUM($AJ303:$AS303)-SUMPRODUCT(($Z$3:$AI$3&lt;AA$3)*($Z303:$AI303-$AJ303:$AS303))))</f>
        <v>0</v>
      </c>
      <c r="H303" s="42" t="n">
        <f aca="false">AL303+MIN(AB303-AL303,MAX(0,'Start Here'!$B$10-SUM($AJ303:$AS303)-SUMPRODUCT(($Z$3:$AI$3&lt;AB$3)*($Z303:$AI303-$AJ303:$AS303))))</f>
        <v>0</v>
      </c>
      <c r="I303" s="42" t="n">
        <f aca="false">AM303+MIN(AC303-AM303,MAX(0,'Start Here'!$B$10-SUM($AJ303:$AS303)-SUMPRODUCT(($Z$3:$AI$3&lt;AC$3)*($Z303:$AI303-$AJ303:$AS303))))</f>
        <v>0</v>
      </c>
      <c r="J303" s="42" t="n">
        <f aca="false">AN303+MIN(AD303-AN303,MAX(0,'Start Here'!$B$10-SUM($AJ303:$AS303)-SUMPRODUCT(($Z$3:$AI$3&lt;AD$3)*($Z303:$AI303-$AJ303:$AS303))))</f>
        <v>0</v>
      </c>
      <c r="K303" s="42" t="n">
        <f aca="false">AO303+MIN(AE303-AO303,MAX(0,'Start Here'!$B$10-SUM($AJ303:$AS303)-SUMPRODUCT(($Z$3:$AI$3&lt;AE$3)*($Z303:$AI303-$AJ303:$AS303))))</f>
        <v>0</v>
      </c>
      <c r="L303" s="42" t="n">
        <f aca="false">AP303+MIN(AF303-AP303,MAX(0,'Start Here'!$B$10-SUM($AJ303:$AS303)-SUMPRODUCT(($Z$3:$AI$3&lt;AF$3)*($Z303:$AI303-$AJ303:$AS303))))</f>
        <v>0</v>
      </c>
      <c r="M303" s="42" t="n">
        <f aca="false">AQ303+MIN(AG303-AQ303,MAX(0,'Start Here'!$B$10-SUM($AJ303:$AS303)-SUMPRODUCT(($Z$3:$AI$3&lt;AG$3)*($Z303:$AI303-$AJ303:$AS303))))</f>
        <v>0</v>
      </c>
      <c r="N303" s="42" t="n">
        <f aca="false">AR303+MIN(AH303-AR303,MAX(0,'Start Here'!$B$10-SUM($AJ303:$AS303)-SUMPRODUCT(($Z$3:$AI$3&lt;AH$3)*($Z303:$AI303-$AJ303:$AS303))))</f>
        <v>0</v>
      </c>
      <c r="O303" s="42" t="n">
        <f aca="false">AS303+MIN(AI303-AS303,MAX(0,'Start Here'!$B$10-SUM($AJ303:$AS303)-SUMPRODUCT(($Z$3:$AI$3&lt;AI$3)*($Z303:$AI303-$AJ303:$AS303))))</f>
        <v>0</v>
      </c>
      <c r="P303" s="42" t="n">
        <f aca="false">ROUND(Z303-F303,2)</f>
        <v>0</v>
      </c>
      <c r="Q303" s="42" t="n">
        <f aca="false">ROUND(AA303-G303,2)</f>
        <v>0</v>
      </c>
      <c r="R303" s="42" t="n">
        <f aca="false">ROUND(AB303-H303,2)</f>
        <v>0</v>
      </c>
      <c r="S303" s="42" t="n">
        <f aca="false">ROUND(AC303-I303,2)</f>
        <v>0</v>
      </c>
      <c r="T303" s="42" t="n">
        <f aca="false">ROUND(AD303-J303,2)</f>
        <v>0</v>
      </c>
      <c r="U303" s="42" t="n">
        <f aca="false">ROUND(AE303-K303,2)</f>
        <v>0</v>
      </c>
      <c r="V303" s="42" t="n">
        <f aca="false">ROUND(AF303-L303,2)</f>
        <v>0</v>
      </c>
      <c r="W303" s="42" t="n">
        <f aca="false">ROUND(AG303-M303,2)</f>
        <v>0</v>
      </c>
      <c r="X303" s="42" t="n">
        <f aca="false">ROUND(AH303-N303,2)</f>
        <v>0</v>
      </c>
      <c r="Y303" s="42" t="n">
        <f aca="false">ROUND(AI303-O303,2)</f>
        <v>0</v>
      </c>
      <c r="Z303" s="56" t="n">
        <f aca="false">ROUND(P302*(1+N(Debts!$D$5)/12),2)</f>
        <v>0</v>
      </c>
      <c r="AA303" s="56" t="n">
        <f aca="false">ROUND(Q302*(1+N(Debts!$D$6)/12),2)</f>
        <v>0</v>
      </c>
      <c r="AB303" s="56" t="n">
        <f aca="false">ROUND(R302*(1+N(Debts!$D$7)/12),2)</f>
        <v>0</v>
      </c>
      <c r="AC303" s="56" t="n">
        <f aca="false">ROUND(S302*(1+N(Debts!$D$8)/12),2)</f>
        <v>0</v>
      </c>
      <c r="AD303" s="56" t="n">
        <f aca="false">ROUND(T302*(1+N(Debts!$D$9)/12),2)</f>
        <v>0</v>
      </c>
      <c r="AE303" s="56" t="n">
        <f aca="false">ROUND(U302*(1+N(Debts!$D$10)/12),2)</f>
        <v>0</v>
      </c>
      <c r="AF303" s="56" t="n">
        <f aca="false">ROUND(V302*(1+N(Debts!$D$11)/12),2)</f>
        <v>0</v>
      </c>
      <c r="AG303" s="56" t="n">
        <f aca="false">ROUND(W302*(1+N(Debts!$D$12)/12),2)</f>
        <v>0</v>
      </c>
      <c r="AH303" s="56" t="n">
        <f aca="false">ROUND(X302*(1+N(Debts!$D$13)/12),2)</f>
        <v>0</v>
      </c>
      <c r="AI303" s="56" t="n">
        <f aca="false">ROUND(Y302*(1+N(Debts!$D$14)/12),2)</f>
        <v>0</v>
      </c>
      <c r="AJ303" s="56" t="n">
        <f aca="false">MIN(Z303,MAX(0,N(Debts!$E$5)))</f>
        <v>0</v>
      </c>
      <c r="AK303" s="56" t="n">
        <f aca="false">MIN(AA303,MAX(0,N(Debts!$E$6)))</f>
        <v>0</v>
      </c>
      <c r="AL303" s="56" t="n">
        <f aca="false">MIN(AB303,MAX(0,N(Debts!$E$7)))</f>
        <v>0</v>
      </c>
      <c r="AM303" s="56" t="n">
        <f aca="false">MIN(AC303,MAX(0,N(Debts!$E$8)))</f>
        <v>0</v>
      </c>
      <c r="AN303" s="56" t="n">
        <f aca="false">MIN(AD303,MAX(0,N(Debts!$E$9)))</f>
        <v>0</v>
      </c>
      <c r="AO303" s="56" t="n">
        <f aca="false">MIN(AE303,MAX(0,N(Debts!$E$10)))</f>
        <v>0</v>
      </c>
      <c r="AP303" s="56" t="n">
        <f aca="false">MIN(AF303,MAX(0,N(Debts!$E$11)))</f>
        <v>0</v>
      </c>
      <c r="AQ303" s="56" t="n">
        <f aca="false">MIN(AG303,MAX(0,N(Debts!$E$12)))</f>
        <v>0</v>
      </c>
      <c r="AR303" s="56" t="n">
        <f aca="false">MIN(AH303,MAX(0,N(Debts!$E$13)))</f>
        <v>0</v>
      </c>
      <c r="AS303" s="56" t="n">
        <f aca="false">MIN(AI303,MAX(0,N(Debts!$E$14)))</f>
        <v>0</v>
      </c>
    </row>
    <row r="304" customFormat="false" ht="15" hidden="false" customHeight="false" outlineLevel="0" collapsed="false">
      <c r="A304" s="53" t="n">
        <v>300</v>
      </c>
      <c r="B304" s="54" t="n">
        <f aca="false">EDATE('Start Here'!$B$8,299)</f>
        <v>55427</v>
      </c>
      <c r="C304" s="42" t="n">
        <f aca="false">SUM(F304:O304)</f>
        <v>0</v>
      </c>
      <c r="D304" s="42" t="n">
        <f aca="false">ROUND(SUM($Z304:$AI304)-SUM(P303:Y303),2)</f>
        <v>0</v>
      </c>
      <c r="E304" s="55" t="n">
        <f aca="false">SUM(P304:Y304)</f>
        <v>0</v>
      </c>
      <c r="F304" s="42" t="n">
        <f aca="false">AJ304+MIN(Z304-AJ304,MAX(0,'Start Here'!$B$10-SUM($AJ304:$AS304)-SUMPRODUCT(($Z$3:$AI$3&lt;Z$3)*($Z304:$AI304-$AJ304:$AS304))))</f>
        <v>0</v>
      </c>
      <c r="G304" s="42" t="n">
        <f aca="false">AK304+MIN(AA304-AK304,MAX(0,'Start Here'!$B$10-SUM($AJ304:$AS304)-SUMPRODUCT(($Z$3:$AI$3&lt;AA$3)*($Z304:$AI304-$AJ304:$AS304))))</f>
        <v>0</v>
      </c>
      <c r="H304" s="42" t="n">
        <f aca="false">AL304+MIN(AB304-AL304,MAX(0,'Start Here'!$B$10-SUM($AJ304:$AS304)-SUMPRODUCT(($Z$3:$AI$3&lt;AB$3)*($Z304:$AI304-$AJ304:$AS304))))</f>
        <v>0</v>
      </c>
      <c r="I304" s="42" t="n">
        <f aca="false">AM304+MIN(AC304-AM304,MAX(0,'Start Here'!$B$10-SUM($AJ304:$AS304)-SUMPRODUCT(($Z$3:$AI$3&lt;AC$3)*($Z304:$AI304-$AJ304:$AS304))))</f>
        <v>0</v>
      </c>
      <c r="J304" s="42" t="n">
        <f aca="false">AN304+MIN(AD304-AN304,MAX(0,'Start Here'!$B$10-SUM($AJ304:$AS304)-SUMPRODUCT(($Z$3:$AI$3&lt;AD$3)*($Z304:$AI304-$AJ304:$AS304))))</f>
        <v>0</v>
      </c>
      <c r="K304" s="42" t="n">
        <f aca="false">AO304+MIN(AE304-AO304,MAX(0,'Start Here'!$B$10-SUM($AJ304:$AS304)-SUMPRODUCT(($Z$3:$AI$3&lt;AE$3)*($Z304:$AI304-$AJ304:$AS304))))</f>
        <v>0</v>
      </c>
      <c r="L304" s="42" t="n">
        <f aca="false">AP304+MIN(AF304-AP304,MAX(0,'Start Here'!$B$10-SUM($AJ304:$AS304)-SUMPRODUCT(($Z$3:$AI$3&lt;AF$3)*($Z304:$AI304-$AJ304:$AS304))))</f>
        <v>0</v>
      </c>
      <c r="M304" s="42" t="n">
        <f aca="false">AQ304+MIN(AG304-AQ304,MAX(0,'Start Here'!$B$10-SUM($AJ304:$AS304)-SUMPRODUCT(($Z$3:$AI$3&lt;AG$3)*($Z304:$AI304-$AJ304:$AS304))))</f>
        <v>0</v>
      </c>
      <c r="N304" s="42" t="n">
        <f aca="false">AR304+MIN(AH304-AR304,MAX(0,'Start Here'!$B$10-SUM($AJ304:$AS304)-SUMPRODUCT(($Z$3:$AI$3&lt;AH$3)*($Z304:$AI304-$AJ304:$AS304))))</f>
        <v>0</v>
      </c>
      <c r="O304" s="42" t="n">
        <f aca="false">AS304+MIN(AI304-AS304,MAX(0,'Start Here'!$B$10-SUM($AJ304:$AS304)-SUMPRODUCT(($Z$3:$AI$3&lt;AI$3)*($Z304:$AI304-$AJ304:$AS304))))</f>
        <v>0</v>
      </c>
      <c r="P304" s="42" t="n">
        <f aca="false">ROUND(Z304-F304,2)</f>
        <v>0</v>
      </c>
      <c r="Q304" s="42" t="n">
        <f aca="false">ROUND(AA304-G304,2)</f>
        <v>0</v>
      </c>
      <c r="R304" s="42" t="n">
        <f aca="false">ROUND(AB304-H304,2)</f>
        <v>0</v>
      </c>
      <c r="S304" s="42" t="n">
        <f aca="false">ROUND(AC304-I304,2)</f>
        <v>0</v>
      </c>
      <c r="T304" s="42" t="n">
        <f aca="false">ROUND(AD304-J304,2)</f>
        <v>0</v>
      </c>
      <c r="U304" s="42" t="n">
        <f aca="false">ROUND(AE304-K304,2)</f>
        <v>0</v>
      </c>
      <c r="V304" s="42" t="n">
        <f aca="false">ROUND(AF304-L304,2)</f>
        <v>0</v>
      </c>
      <c r="W304" s="42" t="n">
        <f aca="false">ROUND(AG304-M304,2)</f>
        <v>0</v>
      </c>
      <c r="X304" s="42" t="n">
        <f aca="false">ROUND(AH304-N304,2)</f>
        <v>0</v>
      </c>
      <c r="Y304" s="42" t="n">
        <f aca="false">ROUND(AI304-O304,2)</f>
        <v>0</v>
      </c>
      <c r="Z304" s="56" t="n">
        <f aca="false">ROUND(P303*(1+N(Debts!$D$5)/12),2)</f>
        <v>0</v>
      </c>
      <c r="AA304" s="56" t="n">
        <f aca="false">ROUND(Q303*(1+N(Debts!$D$6)/12),2)</f>
        <v>0</v>
      </c>
      <c r="AB304" s="56" t="n">
        <f aca="false">ROUND(R303*(1+N(Debts!$D$7)/12),2)</f>
        <v>0</v>
      </c>
      <c r="AC304" s="56" t="n">
        <f aca="false">ROUND(S303*(1+N(Debts!$D$8)/12),2)</f>
        <v>0</v>
      </c>
      <c r="AD304" s="56" t="n">
        <f aca="false">ROUND(T303*(1+N(Debts!$D$9)/12),2)</f>
        <v>0</v>
      </c>
      <c r="AE304" s="56" t="n">
        <f aca="false">ROUND(U303*(1+N(Debts!$D$10)/12),2)</f>
        <v>0</v>
      </c>
      <c r="AF304" s="56" t="n">
        <f aca="false">ROUND(V303*(1+N(Debts!$D$11)/12),2)</f>
        <v>0</v>
      </c>
      <c r="AG304" s="56" t="n">
        <f aca="false">ROUND(W303*(1+N(Debts!$D$12)/12),2)</f>
        <v>0</v>
      </c>
      <c r="AH304" s="56" t="n">
        <f aca="false">ROUND(X303*(1+N(Debts!$D$13)/12),2)</f>
        <v>0</v>
      </c>
      <c r="AI304" s="56" t="n">
        <f aca="false">ROUND(Y303*(1+N(Debts!$D$14)/12),2)</f>
        <v>0</v>
      </c>
      <c r="AJ304" s="56" t="n">
        <f aca="false">MIN(Z304,MAX(0,N(Debts!$E$5)))</f>
        <v>0</v>
      </c>
      <c r="AK304" s="56" t="n">
        <f aca="false">MIN(AA304,MAX(0,N(Debts!$E$6)))</f>
        <v>0</v>
      </c>
      <c r="AL304" s="56" t="n">
        <f aca="false">MIN(AB304,MAX(0,N(Debts!$E$7)))</f>
        <v>0</v>
      </c>
      <c r="AM304" s="56" t="n">
        <f aca="false">MIN(AC304,MAX(0,N(Debts!$E$8)))</f>
        <v>0</v>
      </c>
      <c r="AN304" s="56" t="n">
        <f aca="false">MIN(AD304,MAX(0,N(Debts!$E$9)))</f>
        <v>0</v>
      </c>
      <c r="AO304" s="56" t="n">
        <f aca="false">MIN(AE304,MAX(0,N(Debts!$E$10)))</f>
        <v>0</v>
      </c>
      <c r="AP304" s="56" t="n">
        <f aca="false">MIN(AF304,MAX(0,N(Debts!$E$11)))</f>
        <v>0</v>
      </c>
      <c r="AQ304" s="56" t="n">
        <f aca="false">MIN(AG304,MAX(0,N(Debts!$E$12)))</f>
        <v>0</v>
      </c>
      <c r="AR304" s="56" t="n">
        <f aca="false">MIN(AH304,MAX(0,N(Debts!$E$13)))</f>
        <v>0</v>
      </c>
      <c r="AS304" s="56" t="n">
        <f aca="false">MIN(AI304,MAX(0,N(Debts!$E$14)))</f>
        <v>0</v>
      </c>
    </row>
    <row r="305" customFormat="false" ht="15" hidden="false" customHeight="false" outlineLevel="0" collapsed="false">
      <c r="A305" s="53" t="n">
        <v>301</v>
      </c>
      <c r="B305" s="54" t="n">
        <f aca="false">EDATE('Start Here'!$B$8,300)</f>
        <v>55458</v>
      </c>
      <c r="C305" s="42" t="n">
        <f aca="false">SUM(F305:O305)</f>
        <v>0</v>
      </c>
      <c r="D305" s="42" t="n">
        <f aca="false">ROUND(SUM($Z305:$AI305)-SUM(P304:Y304),2)</f>
        <v>0</v>
      </c>
      <c r="E305" s="55" t="n">
        <f aca="false">SUM(P305:Y305)</f>
        <v>0</v>
      </c>
      <c r="F305" s="42" t="n">
        <f aca="false">AJ305+MIN(Z305-AJ305,MAX(0,'Start Here'!$B$10-SUM($AJ305:$AS305)-SUMPRODUCT(($Z$3:$AI$3&lt;Z$3)*($Z305:$AI305-$AJ305:$AS305))))</f>
        <v>0</v>
      </c>
      <c r="G305" s="42" t="n">
        <f aca="false">AK305+MIN(AA305-AK305,MAX(0,'Start Here'!$B$10-SUM($AJ305:$AS305)-SUMPRODUCT(($Z$3:$AI$3&lt;AA$3)*($Z305:$AI305-$AJ305:$AS305))))</f>
        <v>0</v>
      </c>
      <c r="H305" s="42" t="n">
        <f aca="false">AL305+MIN(AB305-AL305,MAX(0,'Start Here'!$B$10-SUM($AJ305:$AS305)-SUMPRODUCT(($Z$3:$AI$3&lt;AB$3)*($Z305:$AI305-$AJ305:$AS305))))</f>
        <v>0</v>
      </c>
      <c r="I305" s="42" t="n">
        <f aca="false">AM305+MIN(AC305-AM305,MAX(0,'Start Here'!$B$10-SUM($AJ305:$AS305)-SUMPRODUCT(($Z$3:$AI$3&lt;AC$3)*($Z305:$AI305-$AJ305:$AS305))))</f>
        <v>0</v>
      </c>
      <c r="J305" s="42" t="n">
        <f aca="false">AN305+MIN(AD305-AN305,MAX(0,'Start Here'!$B$10-SUM($AJ305:$AS305)-SUMPRODUCT(($Z$3:$AI$3&lt;AD$3)*($Z305:$AI305-$AJ305:$AS305))))</f>
        <v>0</v>
      </c>
      <c r="K305" s="42" t="n">
        <f aca="false">AO305+MIN(AE305-AO305,MAX(0,'Start Here'!$B$10-SUM($AJ305:$AS305)-SUMPRODUCT(($Z$3:$AI$3&lt;AE$3)*($Z305:$AI305-$AJ305:$AS305))))</f>
        <v>0</v>
      </c>
      <c r="L305" s="42" t="n">
        <f aca="false">AP305+MIN(AF305-AP305,MAX(0,'Start Here'!$B$10-SUM($AJ305:$AS305)-SUMPRODUCT(($Z$3:$AI$3&lt;AF$3)*($Z305:$AI305-$AJ305:$AS305))))</f>
        <v>0</v>
      </c>
      <c r="M305" s="42" t="n">
        <f aca="false">AQ305+MIN(AG305-AQ305,MAX(0,'Start Here'!$B$10-SUM($AJ305:$AS305)-SUMPRODUCT(($Z$3:$AI$3&lt;AG$3)*($Z305:$AI305-$AJ305:$AS305))))</f>
        <v>0</v>
      </c>
      <c r="N305" s="42" t="n">
        <f aca="false">AR305+MIN(AH305-AR305,MAX(0,'Start Here'!$B$10-SUM($AJ305:$AS305)-SUMPRODUCT(($Z$3:$AI$3&lt;AH$3)*($Z305:$AI305-$AJ305:$AS305))))</f>
        <v>0</v>
      </c>
      <c r="O305" s="42" t="n">
        <f aca="false">AS305+MIN(AI305-AS305,MAX(0,'Start Here'!$B$10-SUM($AJ305:$AS305)-SUMPRODUCT(($Z$3:$AI$3&lt;AI$3)*($Z305:$AI305-$AJ305:$AS305))))</f>
        <v>0</v>
      </c>
      <c r="P305" s="42" t="n">
        <f aca="false">ROUND(Z305-F305,2)</f>
        <v>0</v>
      </c>
      <c r="Q305" s="42" t="n">
        <f aca="false">ROUND(AA305-G305,2)</f>
        <v>0</v>
      </c>
      <c r="R305" s="42" t="n">
        <f aca="false">ROUND(AB305-H305,2)</f>
        <v>0</v>
      </c>
      <c r="S305" s="42" t="n">
        <f aca="false">ROUND(AC305-I305,2)</f>
        <v>0</v>
      </c>
      <c r="T305" s="42" t="n">
        <f aca="false">ROUND(AD305-J305,2)</f>
        <v>0</v>
      </c>
      <c r="U305" s="42" t="n">
        <f aca="false">ROUND(AE305-K305,2)</f>
        <v>0</v>
      </c>
      <c r="V305" s="42" t="n">
        <f aca="false">ROUND(AF305-L305,2)</f>
        <v>0</v>
      </c>
      <c r="W305" s="42" t="n">
        <f aca="false">ROUND(AG305-M305,2)</f>
        <v>0</v>
      </c>
      <c r="X305" s="42" t="n">
        <f aca="false">ROUND(AH305-N305,2)</f>
        <v>0</v>
      </c>
      <c r="Y305" s="42" t="n">
        <f aca="false">ROUND(AI305-O305,2)</f>
        <v>0</v>
      </c>
      <c r="Z305" s="56" t="n">
        <f aca="false">ROUND(P304*(1+N(Debts!$D$5)/12),2)</f>
        <v>0</v>
      </c>
      <c r="AA305" s="56" t="n">
        <f aca="false">ROUND(Q304*(1+N(Debts!$D$6)/12),2)</f>
        <v>0</v>
      </c>
      <c r="AB305" s="56" t="n">
        <f aca="false">ROUND(R304*(1+N(Debts!$D$7)/12),2)</f>
        <v>0</v>
      </c>
      <c r="AC305" s="56" t="n">
        <f aca="false">ROUND(S304*(1+N(Debts!$D$8)/12),2)</f>
        <v>0</v>
      </c>
      <c r="AD305" s="56" t="n">
        <f aca="false">ROUND(T304*(1+N(Debts!$D$9)/12),2)</f>
        <v>0</v>
      </c>
      <c r="AE305" s="56" t="n">
        <f aca="false">ROUND(U304*(1+N(Debts!$D$10)/12),2)</f>
        <v>0</v>
      </c>
      <c r="AF305" s="56" t="n">
        <f aca="false">ROUND(V304*(1+N(Debts!$D$11)/12),2)</f>
        <v>0</v>
      </c>
      <c r="AG305" s="56" t="n">
        <f aca="false">ROUND(W304*(1+N(Debts!$D$12)/12),2)</f>
        <v>0</v>
      </c>
      <c r="AH305" s="56" t="n">
        <f aca="false">ROUND(X304*(1+N(Debts!$D$13)/12),2)</f>
        <v>0</v>
      </c>
      <c r="AI305" s="56" t="n">
        <f aca="false">ROUND(Y304*(1+N(Debts!$D$14)/12),2)</f>
        <v>0</v>
      </c>
      <c r="AJ305" s="56" t="n">
        <f aca="false">MIN(Z305,MAX(0,N(Debts!$E$5)))</f>
        <v>0</v>
      </c>
      <c r="AK305" s="56" t="n">
        <f aca="false">MIN(AA305,MAX(0,N(Debts!$E$6)))</f>
        <v>0</v>
      </c>
      <c r="AL305" s="56" t="n">
        <f aca="false">MIN(AB305,MAX(0,N(Debts!$E$7)))</f>
        <v>0</v>
      </c>
      <c r="AM305" s="56" t="n">
        <f aca="false">MIN(AC305,MAX(0,N(Debts!$E$8)))</f>
        <v>0</v>
      </c>
      <c r="AN305" s="56" t="n">
        <f aca="false">MIN(AD305,MAX(0,N(Debts!$E$9)))</f>
        <v>0</v>
      </c>
      <c r="AO305" s="56" t="n">
        <f aca="false">MIN(AE305,MAX(0,N(Debts!$E$10)))</f>
        <v>0</v>
      </c>
      <c r="AP305" s="56" t="n">
        <f aca="false">MIN(AF305,MAX(0,N(Debts!$E$11)))</f>
        <v>0</v>
      </c>
      <c r="AQ305" s="56" t="n">
        <f aca="false">MIN(AG305,MAX(0,N(Debts!$E$12)))</f>
        <v>0</v>
      </c>
      <c r="AR305" s="56" t="n">
        <f aca="false">MIN(AH305,MAX(0,N(Debts!$E$13)))</f>
        <v>0</v>
      </c>
      <c r="AS305" s="56" t="n">
        <f aca="false">MIN(AI305,MAX(0,N(Debts!$E$14)))</f>
        <v>0</v>
      </c>
    </row>
    <row r="306" customFormat="false" ht="15" hidden="false" customHeight="false" outlineLevel="0" collapsed="false">
      <c r="A306" s="53" t="n">
        <v>302</v>
      </c>
      <c r="B306" s="54" t="n">
        <f aca="false">EDATE('Start Here'!$B$8,301)</f>
        <v>55488</v>
      </c>
      <c r="C306" s="42" t="n">
        <f aca="false">SUM(F306:O306)</f>
        <v>0</v>
      </c>
      <c r="D306" s="42" t="n">
        <f aca="false">ROUND(SUM($Z306:$AI306)-SUM(P305:Y305),2)</f>
        <v>0</v>
      </c>
      <c r="E306" s="55" t="n">
        <f aca="false">SUM(P306:Y306)</f>
        <v>0</v>
      </c>
      <c r="F306" s="42" t="n">
        <f aca="false">AJ306+MIN(Z306-AJ306,MAX(0,'Start Here'!$B$10-SUM($AJ306:$AS306)-SUMPRODUCT(($Z$3:$AI$3&lt;Z$3)*($Z306:$AI306-$AJ306:$AS306))))</f>
        <v>0</v>
      </c>
      <c r="G306" s="42" t="n">
        <f aca="false">AK306+MIN(AA306-AK306,MAX(0,'Start Here'!$B$10-SUM($AJ306:$AS306)-SUMPRODUCT(($Z$3:$AI$3&lt;AA$3)*($Z306:$AI306-$AJ306:$AS306))))</f>
        <v>0</v>
      </c>
      <c r="H306" s="42" t="n">
        <f aca="false">AL306+MIN(AB306-AL306,MAX(0,'Start Here'!$B$10-SUM($AJ306:$AS306)-SUMPRODUCT(($Z$3:$AI$3&lt;AB$3)*($Z306:$AI306-$AJ306:$AS306))))</f>
        <v>0</v>
      </c>
      <c r="I306" s="42" t="n">
        <f aca="false">AM306+MIN(AC306-AM306,MAX(0,'Start Here'!$B$10-SUM($AJ306:$AS306)-SUMPRODUCT(($Z$3:$AI$3&lt;AC$3)*($Z306:$AI306-$AJ306:$AS306))))</f>
        <v>0</v>
      </c>
      <c r="J306" s="42" t="n">
        <f aca="false">AN306+MIN(AD306-AN306,MAX(0,'Start Here'!$B$10-SUM($AJ306:$AS306)-SUMPRODUCT(($Z$3:$AI$3&lt;AD$3)*($Z306:$AI306-$AJ306:$AS306))))</f>
        <v>0</v>
      </c>
      <c r="K306" s="42" t="n">
        <f aca="false">AO306+MIN(AE306-AO306,MAX(0,'Start Here'!$B$10-SUM($AJ306:$AS306)-SUMPRODUCT(($Z$3:$AI$3&lt;AE$3)*($Z306:$AI306-$AJ306:$AS306))))</f>
        <v>0</v>
      </c>
      <c r="L306" s="42" t="n">
        <f aca="false">AP306+MIN(AF306-AP306,MAX(0,'Start Here'!$B$10-SUM($AJ306:$AS306)-SUMPRODUCT(($Z$3:$AI$3&lt;AF$3)*($Z306:$AI306-$AJ306:$AS306))))</f>
        <v>0</v>
      </c>
      <c r="M306" s="42" t="n">
        <f aca="false">AQ306+MIN(AG306-AQ306,MAX(0,'Start Here'!$B$10-SUM($AJ306:$AS306)-SUMPRODUCT(($Z$3:$AI$3&lt;AG$3)*($Z306:$AI306-$AJ306:$AS306))))</f>
        <v>0</v>
      </c>
      <c r="N306" s="42" t="n">
        <f aca="false">AR306+MIN(AH306-AR306,MAX(0,'Start Here'!$B$10-SUM($AJ306:$AS306)-SUMPRODUCT(($Z$3:$AI$3&lt;AH$3)*($Z306:$AI306-$AJ306:$AS306))))</f>
        <v>0</v>
      </c>
      <c r="O306" s="42" t="n">
        <f aca="false">AS306+MIN(AI306-AS306,MAX(0,'Start Here'!$B$10-SUM($AJ306:$AS306)-SUMPRODUCT(($Z$3:$AI$3&lt;AI$3)*($Z306:$AI306-$AJ306:$AS306))))</f>
        <v>0</v>
      </c>
      <c r="P306" s="42" t="n">
        <f aca="false">ROUND(Z306-F306,2)</f>
        <v>0</v>
      </c>
      <c r="Q306" s="42" t="n">
        <f aca="false">ROUND(AA306-G306,2)</f>
        <v>0</v>
      </c>
      <c r="R306" s="42" t="n">
        <f aca="false">ROUND(AB306-H306,2)</f>
        <v>0</v>
      </c>
      <c r="S306" s="42" t="n">
        <f aca="false">ROUND(AC306-I306,2)</f>
        <v>0</v>
      </c>
      <c r="T306" s="42" t="n">
        <f aca="false">ROUND(AD306-J306,2)</f>
        <v>0</v>
      </c>
      <c r="U306" s="42" t="n">
        <f aca="false">ROUND(AE306-K306,2)</f>
        <v>0</v>
      </c>
      <c r="V306" s="42" t="n">
        <f aca="false">ROUND(AF306-L306,2)</f>
        <v>0</v>
      </c>
      <c r="W306" s="42" t="n">
        <f aca="false">ROUND(AG306-M306,2)</f>
        <v>0</v>
      </c>
      <c r="X306" s="42" t="n">
        <f aca="false">ROUND(AH306-N306,2)</f>
        <v>0</v>
      </c>
      <c r="Y306" s="42" t="n">
        <f aca="false">ROUND(AI306-O306,2)</f>
        <v>0</v>
      </c>
      <c r="Z306" s="56" t="n">
        <f aca="false">ROUND(P305*(1+N(Debts!$D$5)/12),2)</f>
        <v>0</v>
      </c>
      <c r="AA306" s="56" t="n">
        <f aca="false">ROUND(Q305*(1+N(Debts!$D$6)/12),2)</f>
        <v>0</v>
      </c>
      <c r="AB306" s="56" t="n">
        <f aca="false">ROUND(R305*(1+N(Debts!$D$7)/12),2)</f>
        <v>0</v>
      </c>
      <c r="AC306" s="56" t="n">
        <f aca="false">ROUND(S305*(1+N(Debts!$D$8)/12),2)</f>
        <v>0</v>
      </c>
      <c r="AD306" s="56" t="n">
        <f aca="false">ROUND(T305*(1+N(Debts!$D$9)/12),2)</f>
        <v>0</v>
      </c>
      <c r="AE306" s="56" t="n">
        <f aca="false">ROUND(U305*(1+N(Debts!$D$10)/12),2)</f>
        <v>0</v>
      </c>
      <c r="AF306" s="56" t="n">
        <f aca="false">ROUND(V305*(1+N(Debts!$D$11)/12),2)</f>
        <v>0</v>
      </c>
      <c r="AG306" s="56" t="n">
        <f aca="false">ROUND(W305*(1+N(Debts!$D$12)/12),2)</f>
        <v>0</v>
      </c>
      <c r="AH306" s="56" t="n">
        <f aca="false">ROUND(X305*(1+N(Debts!$D$13)/12),2)</f>
        <v>0</v>
      </c>
      <c r="AI306" s="56" t="n">
        <f aca="false">ROUND(Y305*(1+N(Debts!$D$14)/12),2)</f>
        <v>0</v>
      </c>
      <c r="AJ306" s="56" t="n">
        <f aca="false">MIN(Z306,MAX(0,N(Debts!$E$5)))</f>
        <v>0</v>
      </c>
      <c r="AK306" s="56" t="n">
        <f aca="false">MIN(AA306,MAX(0,N(Debts!$E$6)))</f>
        <v>0</v>
      </c>
      <c r="AL306" s="56" t="n">
        <f aca="false">MIN(AB306,MAX(0,N(Debts!$E$7)))</f>
        <v>0</v>
      </c>
      <c r="AM306" s="56" t="n">
        <f aca="false">MIN(AC306,MAX(0,N(Debts!$E$8)))</f>
        <v>0</v>
      </c>
      <c r="AN306" s="56" t="n">
        <f aca="false">MIN(AD306,MAX(0,N(Debts!$E$9)))</f>
        <v>0</v>
      </c>
      <c r="AO306" s="56" t="n">
        <f aca="false">MIN(AE306,MAX(0,N(Debts!$E$10)))</f>
        <v>0</v>
      </c>
      <c r="AP306" s="56" t="n">
        <f aca="false">MIN(AF306,MAX(0,N(Debts!$E$11)))</f>
        <v>0</v>
      </c>
      <c r="AQ306" s="56" t="n">
        <f aca="false">MIN(AG306,MAX(0,N(Debts!$E$12)))</f>
        <v>0</v>
      </c>
      <c r="AR306" s="56" t="n">
        <f aca="false">MIN(AH306,MAX(0,N(Debts!$E$13)))</f>
        <v>0</v>
      </c>
      <c r="AS306" s="56" t="n">
        <f aca="false">MIN(AI306,MAX(0,N(Debts!$E$14)))</f>
        <v>0</v>
      </c>
    </row>
    <row r="307" customFormat="false" ht="15" hidden="false" customHeight="false" outlineLevel="0" collapsed="false">
      <c r="A307" s="53" t="n">
        <v>303</v>
      </c>
      <c r="B307" s="54" t="n">
        <f aca="false">EDATE('Start Here'!$B$8,302)</f>
        <v>55519</v>
      </c>
      <c r="C307" s="42" t="n">
        <f aca="false">SUM(F307:O307)</f>
        <v>0</v>
      </c>
      <c r="D307" s="42" t="n">
        <f aca="false">ROUND(SUM($Z307:$AI307)-SUM(P306:Y306),2)</f>
        <v>0</v>
      </c>
      <c r="E307" s="55" t="n">
        <f aca="false">SUM(P307:Y307)</f>
        <v>0</v>
      </c>
      <c r="F307" s="42" t="n">
        <f aca="false">AJ307+MIN(Z307-AJ307,MAX(0,'Start Here'!$B$10-SUM($AJ307:$AS307)-SUMPRODUCT(($Z$3:$AI$3&lt;Z$3)*($Z307:$AI307-$AJ307:$AS307))))</f>
        <v>0</v>
      </c>
      <c r="G307" s="42" t="n">
        <f aca="false">AK307+MIN(AA307-AK307,MAX(0,'Start Here'!$B$10-SUM($AJ307:$AS307)-SUMPRODUCT(($Z$3:$AI$3&lt;AA$3)*($Z307:$AI307-$AJ307:$AS307))))</f>
        <v>0</v>
      </c>
      <c r="H307" s="42" t="n">
        <f aca="false">AL307+MIN(AB307-AL307,MAX(0,'Start Here'!$B$10-SUM($AJ307:$AS307)-SUMPRODUCT(($Z$3:$AI$3&lt;AB$3)*($Z307:$AI307-$AJ307:$AS307))))</f>
        <v>0</v>
      </c>
      <c r="I307" s="42" t="n">
        <f aca="false">AM307+MIN(AC307-AM307,MAX(0,'Start Here'!$B$10-SUM($AJ307:$AS307)-SUMPRODUCT(($Z$3:$AI$3&lt;AC$3)*($Z307:$AI307-$AJ307:$AS307))))</f>
        <v>0</v>
      </c>
      <c r="J307" s="42" t="n">
        <f aca="false">AN307+MIN(AD307-AN307,MAX(0,'Start Here'!$B$10-SUM($AJ307:$AS307)-SUMPRODUCT(($Z$3:$AI$3&lt;AD$3)*($Z307:$AI307-$AJ307:$AS307))))</f>
        <v>0</v>
      </c>
      <c r="K307" s="42" t="n">
        <f aca="false">AO307+MIN(AE307-AO307,MAX(0,'Start Here'!$B$10-SUM($AJ307:$AS307)-SUMPRODUCT(($Z$3:$AI$3&lt;AE$3)*($Z307:$AI307-$AJ307:$AS307))))</f>
        <v>0</v>
      </c>
      <c r="L307" s="42" t="n">
        <f aca="false">AP307+MIN(AF307-AP307,MAX(0,'Start Here'!$B$10-SUM($AJ307:$AS307)-SUMPRODUCT(($Z$3:$AI$3&lt;AF$3)*($Z307:$AI307-$AJ307:$AS307))))</f>
        <v>0</v>
      </c>
      <c r="M307" s="42" t="n">
        <f aca="false">AQ307+MIN(AG307-AQ307,MAX(0,'Start Here'!$B$10-SUM($AJ307:$AS307)-SUMPRODUCT(($Z$3:$AI$3&lt;AG$3)*($Z307:$AI307-$AJ307:$AS307))))</f>
        <v>0</v>
      </c>
      <c r="N307" s="42" t="n">
        <f aca="false">AR307+MIN(AH307-AR307,MAX(0,'Start Here'!$B$10-SUM($AJ307:$AS307)-SUMPRODUCT(($Z$3:$AI$3&lt;AH$3)*($Z307:$AI307-$AJ307:$AS307))))</f>
        <v>0</v>
      </c>
      <c r="O307" s="42" t="n">
        <f aca="false">AS307+MIN(AI307-AS307,MAX(0,'Start Here'!$B$10-SUM($AJ307:$AS307)-SUMPRODUCT(($Z$3:$AI$3&lt;AI$3)*($Z307:$AI307-$AJ307:$AS307))))</f>
        <v>0</v>
      </c>
      <c r="P307" s="42" t="n">
        <f aca="false">ROUND(Z307-F307,2)</f>
        <v>0</v>
      </c>
      <c r="Q307" s="42" t="n">
        <f aca="false">ROUND(AA307-G307,2)</f>
        <v>0</v>
      </c>
      <c r="R307" s="42" t="n">
        <f aca="false">ROUND(AB307-H307,2)</f>
        <v>0</v>
      </c>
      <c r="S307" s="42" t="n">
        <f aca="false">ROUND(AC307-I307,2)</f>
        <v>0</v>
      </c>
      <c r="T307" s="42" t="n">
        <f aca="false">ROUND(AD307-J307,2)</f>
        <v>0</v>
      </c>
      <c r="U307" s="42" t="n">
        <f aca="false">ROUND(AE307-K307,2)</f>
        <v>0</v>
      </c>
      <c r="V307" s="42" t="n">
        <f aca="false">ROUND(AF307-L307,2)</f>
        <v>0</v>
      </c>
      <c r="W307" s="42" t="n">
        <f aca="false">ROUND(AG307-M307,2)</f>
        <v>0</v>
      </c>
      <c r="X307" s="42" t="n">
        <f aca="false">ROUND(AH307-N307,2)</f>
        <v>0</v>
      </c>
      <c r="Y307" s="42" t="n">
        <f aca="false">ROUND(AI307-O307,2)</f>
        <v>0</v>
      </c>
      <c r="Z307" s="56" t="n">
        <f aca="false">ROUND(P306*(1+N(Debts!$D$5)/12),2)</f>
        <v>0</v>
      </c>
      <c r="AA307" s="56" t="n">
        <f aca="false">ROUND(Q306*(1+N(Debts!$D$6)/12),2)</f>
        <v>0</v>
      </c>
      <c r="AB307" s="56" t="n">
        <f aca="false">ROUND(R306*(1+N(Debts!$D$7)/12),2)</f>
        <v>0</v>
      </c>
      <c r="AC307" s="56" t="n">
        <f aca="false">ROUND(S306*(1+N(Debts!$D$8)/12),2)</f>
        <v>0</v>
      </c>
      <c r="AD307" s="56" t="n">
        <f aca="false">ROUND(T306*(1+N(Debts!$D$9)/12),2)</f>
        <v>0</v>
      </c>
      <c r="AE307" s="56" t="n">
        <f aca="false">ROUND(U306*(1+N(Debts!$D$10)/12),2)</f>
        <v>0</v>
      </c>
      <c r="AF307" s="56" t="n">
        <f aca="false">ROUND(V306*(1+N(Debts!$D$11)/12),2)</f>
        <v>0</v>
      </c>
      <c r="AG307" s="56" t="n">
        <f aca="false">ROUND(W306*(1+N(Debts!$D$12)/12),2)</f>
        <v>0</v>
      </c>
      <c r="AH307" s="56" t="n">
        <f aca="false">ROUND(X306*(1+N(Debts!$D$13)/12),2)</f>
        <v>0</v>
      </c>
      <c r="AI307" s="56" t="n">
        <f aca="false">ROUND(Y306*(1+N(Debts!$D$14)/12),2)</f>
        <v>0</v>
      </c>
      <c r="AJ307" s="56" t="n">
        <f aca="false">MIN(Z307,MAX(0,N(Debts!$E$5)))</f>
        <v>0</v>
      </c>
      <c r="AK307" s="56" t="n">
        <f aca="false">MIN(AA307,MAX(0,N(Debts!$E$6)))</f>
        <v>0</v>
      </c>
      <c r="AL307" s="56" t="n">
        <f aca="false">MIN(AB307,MAX(0,N(Debts!$E$7)))</f>
        <v>0</v>
      </c>
      <c r="AM307" s="56" t="n">
        <f aca="false">MIN(AC307,MAX(0,N(Debts!$E$8)))</f>
        <v>0</v>
      </c>
      <c r="AN307" s="56" t="n">
        <f aca="false">MIN(AD307,MAX(0,N(Debts!$E$9)))</f>
        <v>0</v>
      </c>
      <c r="AO307" s="56" t="n">
        <f aca="false">MIN(AE307,MAX(0,N(Debts!$E$10)))</f>
        <v>0</v>
      </c>
      <c r="AP307" s="56" t="n">
        <f aca="false">MIN(AF307,MAX(0,N(Debts!$E$11)))</f>
        <v>0</v>
      </c>
      <c r="AQ307" s="56" t="n">
        <f aca="false">MIN(AG307,MAX(0,N(Debts!$E$12)))</f>
        <v>0</v>
      </c>
      <c r="AR307" s="56" t="n">
        <f aca="false">MIN(AH307,MAX(0,N(Debts!$E$13)))</f>
        <v>0</v>
      </c>
      <c r="AS307" s="56" t="n">
        <f aca="false">MIN(AI307,MAX(0,N(Debts!$E$14)))</f>
        <v>0</v>
      </c>
    </row>
    <row r="308" customFormat="false" ht="15" hidden="false" customHeight="false" outlineLevel="0" collapsed="false">
      <c r="A308" s="53" t="n">
        <v>304</v>
      </c>
      <c r="B308" s="54" t="n">
        <f aca="false">EDATE('Start Here'!$B$8,303)</f>
        <v>55550</v>
      </c>
      <c r="C308" s="42" t="n">
        <f aca="false">SUM(F308:O308)</f>
        <v>0</v>
      </c>
      <c r="D308" s="42" t="n">
        <f aca="false">ROUND(SUM($Z308:$AI308)-SUM(P307:Y307),2)</f>
        <v>0</v>
      </c>
      <c r="E308" s="55" t="n">
        <f aca="false">SUM(P308:Y308)</f>
        <v>0</v>
      </c>
      <c r="F308" s="42" t="n">
        <f aca="false">AJ308+MIN(Z308-AJ308,MAX(0,'Start Here'!$B$10-SUM($AJ308:$AS308)-SUMPRODUCT(($Z$3:$AI$3&lt;Z$3)*($Z308:$AI308-$AJ308:$AS308))))</f>
        <v>0</v>
      </c>
      <c r="G308" s="42" t="n">
        <f aca="false">AK308+MIN(AA308-AK308,MAX(0,'Start Here'!$B$10-SUM($AJ308:$AS308)-SUMPRODUCT(($Z$3:$AI$3&lt;AA$3)*($Z308:$AI308-$AJ308:$AS308))))</f>
        <v>0</v>
      </c>
      <c r="H308" s="42" t="n">
        <f aca="false">AL308+MIN(AB308-AL308,MAX(0,'Start Here'!$B$10-SUM($AJ308:$AS308)-SUMPRODUCT(($Z$3:$AI$3&lt;AB$3)*($Z308:$AI308-$AJ308:$AS308))))</f>
        <v>0</v>
      </c>
      <c r="I308" s="42" t="n">
        <f aca="false">AM308+MIN(AC308-AM308,MAX(0,'Start Here'!$B$10-SUM($AJ308:$AS308)-SUMPRODUCT(($Z$3:$AI$3&lt;AC$3)*($Z308:$AI308-$AJ308:$AS308))))</f>
        <v>0</v>
      </c>
      <c r="J308" s="42" t="n">
        <f aca="false">AN308+MIN(AD308-AN308,MAX(0,'Start Here'!$B$10-SUM($AJ308:$AS308)-SUMPRODUCT(($Z$3:$AI$3&lt;AD$3)*($Z308:$AI308-$AJ308:$AS308))))</f>
        <v>0</v>
      </c>
      <c r="K308" s="42" t="n">
        <f aca="false">AO308+MIN(AE308-AO308,MAX(0,'Start Here'!$B$10-SUM($AJ308:$AS308)-SUMPRODUCT(($Z$3:$AI$3&lt;AE$3)*($Z308:$AI308-$AJ308:$AS308))))</f>
        <v>0</v>
      </c>
      <c r="L308" s="42" t="n">
        <f aca="false">AP308+MIN(AF308-AP308,MAX(0,'Start Here'!$B$10-SUM($AJ308:$AS308)-SUMPRODUCT(($Z$3:$AI$3&lt;AF$3)*($Z308:$AI308-$AJ308:$AS308))))</f>
        <v>0</v>
      </c>
      <c r="M308" s="42" t="n">
        <f aca="false">AQ308+MIN(AG308-AQ308,MAX(0,'Start Here'!$B$10-SUM($AJ308:$AS308)-SUMPRODUCT(($Z$3:$AI$3&lt;AG$3)*($Z308:$AI308-$AJ308:$AS308))))</f>
        <v>0</v>
      </c>
      <c r="N308" s="42" t="n">
        <f aca="false">AR308+MIN(AH308-AR308,MAX(0,'Start Here'!$B$10-SUM($AJ308:$AS308)-SUMPRODUCT(($Z$3:$AI$3&lt;AH$3)*($Z308:$AI308-$AJ308:$AS308))))</f>
        <v>0</v>
      </c>
      <c r="O308" s="42" t="n">
        <f aca="false">AS308+MIN(AI308-AS308,MAX(0,'Start Here'!$B$10-SUM($AJ308:$AS308)-SUMPRODUCT(($Z$3:$AI$3&lt;AI$3)*($Z308:$AI308-$AJ308:$AS308))))</f>
        <v>0</v>
      </c>
      <c r="P308" s="42" t="n">
        <f aca="false">ROUND(Z308-F308,2)</f>
        <v>0</v>
      </c>
      <c r="Q308" s="42" t="n">
        <f aca="false">ROUND(AA308-G308,2)</f>
        <v>0</v>
      </c>
      <c r="R308" s="42" t="n">
        <f aca="false">ROUND(AB308-H308,2)</f>
        <v>0</v>
      </c>
      <c r="S308" s="42" t="n">
        <f aca="false">ROUND(AC308-I308,2)</f>
        <v>0</v>
      </c>
      <c r="T308" s="42" t="n">
        <f aca="false">ROUND(AD308-J308,2)</f>
        <v>0</v>
      </c>
      <c r="U308" s="42" t="n">
        <f aca="false">ROUND(AE308-K308,2)</f>
        <v>0</v>
      </c>
      <c r="V308" s="42" t="n">
        <f aca="false">ROUND(AF308-L308,2)</f>
        <v>0</v>
      </c>
      <c r="W308" s="42" t="n">
        <f aca="false">ROUND(AG308-M308,2)</f>
        <v>0</v>
      </c>
      <c r="X308" s="42" t="n">
        <f aca="false">ROUND(AH308-N308,2)</f>
        <v>0</v>
      </c>
      <c r="Y308" s="42" t="n">
        <f aca="false">ROUND(AI308-O308,2)</f>
        <v>0</v>
      </c>
      <c r="Z308" s="56" t="n">
        <f aca="false">ROUND(P307*(1+N(Debts!$D$5)/12),2)</f>
        <v>0</v>
      </c>
      <c r="AA308" s="56" t="n">
        <f aca="false">ROUND(Q307*(1+N(Debts!$D$6)/12),2)</f>
        <v>0</v>
      </c>
      <c r="AB308" s="56" t="n">
        <f aca="false">ROUND(R307*(1+N(Debts!$D$7)/12),2)</f>
        <v>0</v>
      </c>
      <c r="AC308" s="56" t="n">
        <f aca="false">ROUND(S307*(1+N(Debts!$D$8)/12),2)</f>
        <v>0</v>
      </c>
      <c r="AD308" s="56" t="n">
        <f aca="false">ROUND(T307*(1+N(Debts!$D$9)/12),2)</f>
        <v>0</v>
      </c>
      <c r="AE308" s="56" t="n">
        <f aca="false">ROUND(U307*(1+N(Debts!$D$10)/12),2)</f>
        <v>0</v>
      </c>
      <c r="AF308" s="56" t="n">
        <f aca="false">ROUND(V307*(1+N(Debts!$D$11)/12),2)</f>
        <v>0</v>
      </c>
      <c r="AG308" s="56" t="n">
        <f aca="false">ROUND(W307*(1+N(Debts!$D$12)/12),2)</f>
        <v>0</v>
      </c>
      <c r="AH308" s="56" t="n">
        <f aca="false">ROUND(X307*(1+N(Debts!$D$13)/12),2)</f>
        <v>0</v>
      </c>
      <c r="AI308" s="56" t="n">
        <f aca="false">ROUND(Y307*(1+N(Debts!$D$14)/12),2)</f>
        <v>0</v>
      </c>
      <c r="AJ308" s="56" t="n">
        <f aca="false">MIN(Z308,MAX(0,N(Debts!$E$5)))</f>
        <v>0</v>
      </c>
      <c r="AK308" s="56" t="n">
        <f aca="false">MIN(AA308,MAX(0,N(Debts!$E$6)))</f>
        <v>0</v>
      </c>
      <c r="AL308" s="56" t="n">
        <f aca="false">MIN(AB308,MAX(0,N(Debts!$E$7)))</f>
        <v>0</v>
      </c>
      <c r="AM308" s="56" t="n">
        <f aca="false">MIN(AC308,MAX(0,N(Debts!$E$8)))</f>
        <v>0</v>
      </c>
      <c r="AN308" s="56" t="n">
        <f aca="false">MIN(AD308,MAX(0,N(Debts!$E$9)))</f>
        <v>0</v>
      </c>
      <c r="AO308" s="56" t="n">
        <f aca="false">MIN(AE308,MAX(0,N(Debts!$E$10)))</f>
        <v>0</v>
      </c>
      <c r="AP308" s="56" t="n">
        <f aca="false">MIN(AF308,MAX(0,N(Debts!$E$11)))</f>
        <v>0</v>
      </c>
      <c r="AQ308" s="56" t="n">
        <f aca="false">MIN(AG308,MAX(0,N(Debts!$E$12)))</f>
        <v>0</v>
      </c>
      <c r="AR308" s="56" t="n">
        <f aca="false">MIN(AH308,MAX(0,N(Debts!$E$13)))</f>
        <v>0</v>
      </c>
      <c r="AS308" s="56" t="n">
        <f aca="false">MIN(AI308,MAX(0,N(Debts!$E$14)))</f>
        <v>0</v>
      </c>
    </row>
    <row r="309" customFormat="false" ht="15" hidden="false" customHeight="false" outlineLevel="0" collapsed="false">
      <c r="A309" s="53" t="n">
        <v>305</v>
      </c>
      <c r="B309" s="54" t="n">
        <f aca="false">EDATE('Start Here'!$B$8,304)</f>
        <v>55579</v>
      </c>
      <c r="C309" s="42" t="n">
        <f aca="false">SUM(F309:O309)</f>
        <v>0</v>
      </c>
      <c r="D309" s="42" t="n">
        <f aca="false">ROUND(SUM($Z309:$AI309)-SUM(P308:Y308),2)</f>
        <v>0</v>
      </c>
      <c r="E309" s="55" t="n">
        <f aca="false">SUM(P309:Y309)</f>
        <v>0</v>
      </c>
      <c r="F309" s="42" t="n">
        <f aca="false">AJ309+MIN(Z309-AJ309,MAX(0,'Start Here'!$B$10-SUM($AJ309:$AS309)-SUMPRODUCT(($Z$3:$AI$3&lt;Z$3)*($Z309:$AI309-$AJ309:$AS309))))</f>
        <v>0</v>
      </c>
      <c r="G309" s="42" t="n">
        <f aca="false">AK309+MIN(AA309-AK309,MAX(0,'Start Here'!$B$10-SUM($AJ309:$AS309)-SUMPRODUCT(($Z$3:$AI$3&lt;AA$3)*($Z309:$AI309-$AJ309:$AS309))))</f>
        <v>0</v>
      </c>
      <c r="H309" s="42" t="n">
        <f aca="false">AL309+MIN(AB309-AL309,MAX(0,'Start Here'!$B$10-SUM($AJ309:$AS309)-SUMPRODUCT(($Z$3:$AI$3&lt;AB$3)*($Z309:$AI309-$AJ309:$AS309))))</f>
        <v>0</v>
      </c>
      <c r="I309" s="42" t="n">
        <f aca="false">AM309+MIN(AC309-AM309,MAX(0,'Start Here'!$B$10-SUM($AJ309:$AS309)-SUMPRODUCT(($Z$3:$AI$3&lt;AC$3)*($Z309:$AI309-$AJ309:$AS309))))</f>
        <v>0</v>
      </c>
      <c r="J309" s="42" t="n">
        <f aca="false">AN309+MIN(AD309-AN309,MAX(0,'Start Here'!$B$10-SUM($AJ309:$AS309)-SUMPRODUCT(($Z$3:$AI$3&lt;AD$3)*($Z309:$AI309-$AJ309:$AS309))))</f>
        <v>0</v>
      </c>
      <c r="K309" s="42" t="n">
        <f aca="false">AO309+MIN(AE309-AO309,MAX(0,'Start Here'!$B$10-SUM($AJ309:$AS309)-SUMPRODUCT(($Z$3:$AI$3&lt;AE$3)*($Z309:$AI309-$AJ309:$AS309))))</f>
        <v>0</v>
      </c>
      <c r="L309" s="42" t="n">
        <f aca="false">AP309+MIN(AF309-AP309,MAX(0,'Start Here'!$B$10-SUM($AJ309:$AS309)-SUMPRODUCT(($Z$3:$AI$3&lt;AF$3)*($Z309:$AI309-$AJ309:$AS309))))</f>
        <v>0</v>
      </c>
      <c r="M309" s="42" t="n">
        <f aca="false">AQ309+MIN(AG309-AQ309,MAX(0,'Start Here'!$B$10-SUM($AJ309:$AS309)-SUMPRODUCT(($Z$3:$AI$3&lt;AG$3)*($Z309:$AI309-$AJ309:$AS309))))</f>
        <v>0</v>
      </c>
      <c r="N309" s="42" t="n">
        <f aca="false">AR309+MIN(AH309-AR309,MAX(0,'Start Here'!$B$10-SUM($AJ309:$AS309)-SUMPRODUCT(($Z$3:$AI$3&lt;AH$3)*($Z309:$AI309-$AJ309:$AS309))))</f>
        <v>0</v>
      </c>
      <c r="O309" s="42" t="n">
        <f aca="false">AS309+MIN(AI309-AS309,MAX(0,'Start Here'!$B$10-SUM($AJ309:$AS309)-SUMPRODUCT(($Z$3:$AI$3&lt;AI$3)*($Z309:$AI309-$AJ309:$AS309))))</f>
        <v>0</v>
      </c>
      <c r="P309" s="42" t="n">
        <f aca="false">ROUND(Z309-F309,2)</f>
        <v>0</v>
      </c>
      <c r="Q309" s="42" t="n">
        <f aca="false">ROUND(AA309-G309,2)</f>
        <v>0</v>
      </c>
      <c r="R309" s="42" t="n">
        <f aca="false">ROUND(AB309-H309,2)</f>
        <v>0</v>
      </c>
      <c r="S309" s="42" t="n">
        <f aca="false">ROUND(AC309-I309,2)</f>
        <v>0</v>
      </c>
      <c r="T309" s="42" t="n">
        <f aca="false">ROUND(AD309-J309,2)</f>
        <v>0</v>
      </c>
      <c r="U309" s="42" t="n">
        <f aca="false">ROUND(AE309-K309,2)</f>
        <v>0</v>
      </c>
      <c r="V309" s="42" t="n">
        <f aca="false">ROUND(AF309-L309,2)</f>
        <v>0</v>
      </c>
      <c r="W309" s="42" t="n">
        <f aca="false">ROUND(AG309-M309,2)</f>
        <v>0</v>
      </c>
      <c r="X309" s="42" t="n">
        <f aca="false">ROUND(AH309-N309,2)</f>
        <v>0</v>
      </c>
      <c r="Y309" s="42" t="n">
        <f aca="false">ROUND(AI309-O309,2)</f>
        <v>0</v>
      </c>
      <c r="Z309" s="56" t="n">
        <f aca="false">ROUND(P308*(1+N(Debts!$D$5)/12),2)</f>
        <v>0</v>
      </c>
      <c r="AA309" s="56" t="n">
        <f aca="false">ROUND(Q308*(1+N(Debts!$D$6)/12),2)</f>
        <v>0</v>
      </c>
      <c r="AB309" s="56" t="n">
        <f aca="false">ROUND(R308*(1+N(Debts!$D$7)/12),2)</f>
        <v>0</v>
      </c>
      <c r="AC309" s="56" t="n">
        <f aca="false">ROUND(S308*(1+N(Debts!$D$8)/12),2)</f>
        <v>0</v>
      </c>
      <c r="AD309" s="56" t="n">
        <f aca="false">ROUND(T308*(1+N(Debts!$D$9)/12),2)</f>
        <v>0</v>
      </c>
      <c r="AE309" s="56" t="n">
        <f aca="false">ROUND(U308*(1+N(Debts!$D$10)/12),2)</f>
        <v>0</v>
      </c>
      <c r="AF309" s="56" t="n">
        <f aca="false">ROUND(V308*(1+N(Debts!$D$11)/12),2)</f>
        <v>0</v>
      </c>
      <c r="AG309" s="56" t="n">
        <f aca="false">ROUND(W308*(1+N(Debts!$D$12)/12),2)</f>
        <v>0</v>
      </c>
      <c r="AH309" s="56" t="n">
        <f aca="false">ROUND(X308*(1+N(Debts!$D$13)/12),2)</f>
        <v>0</v>
      </c>
      <c r="AI309" s="56" t="n">
        <f aca="false">ROUND(Y308*(1+N(Debts!$D$14)/12),2)</f>
        <v>0</v>
      </c>
      <c r="AJ309" s="56" t="n">
        <f aca="false">MIN(Z309,MAX(0,N(Debts!$E$5)))</f>
        <v>0</v>
      </c>
      <c r="AK309" s="56" t="n">
        <f aca="false">MIN(AA309,MAX(0,N(Debts!$E$6)))</f>
        <v>0</v>
      </c>
      <c r="AL309" s="56" t="n">
        <f aca="false">MIN(AB309,MAX(0,N(Debts!$E$7)))</f>
        <v>0</v>
      </c>
      <c r="AM309" s="56" t="n">
        <f aca="false">MIN(AC309,MAX(0,N(Debts!$E$8)))</f>
        <v>0</v>
      </c>
      <c r="AN309" s="56" t="n">
        <f aca="false">MIN(AD309,MAX(0,N(Debts!$E$9)))</f>
        <v>0</v>
      </c>
      <c r="AO309" s="56" t="n">
        <f aca="false">MIN(AE309,MAX(0,N(Debts!$E$10)))</f>
        <v>0</v>
      </c>
      <c r="AP309" s="56" t="n">
        <f aca="false">MIN(AF309,MAX(0,N(Debts!$E$11)))</f>
        <v>0</v>
      </c>
      <c r="AQ309" s="56" t="n">
        <f aca="false">MIN(AG309,MAX(0,N(Debts!$E$12)))</f>
        <v>0</v>
      </c>
      <c r="AR309" s="56" t="n">
        <f aca="false">MIN(AH309,MAX(0,N(Debts!$E$13)))</f>
        <v>0</v>
      </c>
      <c r="AS309" s="56" t="n">
        <f aca="false">MIN(AI309,MAX(0,N(Debts!$E$14)))</f>
        <v>0</v>
      </c>
    </row>
    <row r="310" customFormat="false" ht="15" hidden="false" customHeight="false" outlineLevel="0" collapsed="false">
      <c r="A310" s="53" t="n">
        <v>306</v>
      </c>
      <c r="B310" s="54" t="n">
        <f aca="false">EDATE('Start Here'!$B$8,305)</f>
        <v>55610</v>
      </c>
      <c r="C310" s="42" t="n">
        <f aca="false">SUM(F310:O310)</f>
        <v>0</v>
      </c>
      <c r="D310" s="42" t="n">
        <f aca="false">ROUND(SUM($Z310:$AI310)-SUM(P309:Y309),2)</f>
        <v>0</v>
      </c>
      <c r="E310" s="55" t="n">
        <f aca="false">SUM(P310:Y310)</f>
        <v>0</v>
      </c>
      <c r="F310" s="42" t="n">
        <f aca="false">AJ310+MIN(Z310-AJ310,MAX(0,'Start Here'!$B$10-SUM($AJ310:$AS310)-SUMPRODUCT(($Z$3:$AI$3&lt;Z$3)*($Z310:$AI310-$AJ310:$AS310))))</f>
        <v>0</v>
      </c>
      <c r="G310" s="42" t="n">
        <f aca="false">AK310+MIN(AA310-AK310,MAX(0,'Start Here'!$B$10-SUM($AJ310:$AS310)-SUMPRODUCT(($Z$3:$AI$3&lt;AA$3)*($Z310:$AI310-$AJ310:$AS310))))</f>
        <v>0</v>
      </c>
      <c r="H310" s="42" t="n">
        <f aca="false">AL310+MIN(AB310-AL310,MAX(0,'Start Here'!$B$10-SUM($AJ310:$AS310)-SUMPRODUCT(($Z$3:$AI$3&lt;AB$3)*($Z310:$AI310-$AJ310:$AS310))))</f>
        <v>0</v>
      </c>
      <c r="I310" s="42" t="n">
        <f aca="false">AM310+MIN(AC310-AM310,MAX(0,'Start Here'!$B$10-SUM($AJ310:$AS310)-SUMPRODUCT(($Z$3:$AI$3&lt;AC$3)*($Z310:$AI310-$AJ310:$AS310))))</f>
        <v>0</v>
      </c>
      <c r="J310" s="42" t="n">
        <f aca="false">AN310+MIN(AD310-AN310,MAX(0,'Start Here'!$B$10-SUM($AJ310:$AS310)-SUMPRODUCT(($Z$3:$AI$3&lt;AD$3)*($Z310:$AI310-$AJ310:$AS310))))</f>
        <v>0</v>
      </c>
      <c r="K310" s="42" t="n">
        <f aca="false">AO310+MIN(AE310-AO310,MAX(0,'Start Here'!$B$10-SUM($AJ310:$AS310)-SUMPRODUCT(($Z$3:$AI$3&lt;AE$3)*($Z310:$AI310-$AJ310:$AS310))))</f>
        <v>0</v>
      </c>
      <c r="L310" s="42" t="n">
        <f aca="false">AP310+MIN(AF310-AP310,MAX(0,'Start Here'!$B$10-SUM($AJ310:$AS310)-SUMPRODUCT(($Z$3:$AI$3&lt;AF$3)*($Z310:$AI310-$AJ310:$AS310))))</f>
        <v>0</v>
      </c>
      <c r="M310" s="42" t="n">
        <f aca="false">AQ310+MIN(AG310-AQ310,MAX(0,'Start Here'!$B$10-SUM($AJ310:$AS310)-SUMPRODUCT(($Z$3:$AI$3&lt;AG$3)*($Z310:$AI310-$AJ310:$AS310))))</f>
        <v>0</v>
      </c>
      <c r="N310" s="42" t="n">
        <f aca="false">AR310+MIN(AH310-AR310,MAX(0,'Start Here'!$B$10-SUM($AJ310:$AS310)-SUMPRODUCT(($Z$3:$AI$3&lt;AH$3)*($Z310:$AI310-$AJ310:$AS310))))</f>
        <v>0</v>
      </c>
      <c r="O310" s="42" t="n">
        <f aca="false">AS310+MIN(AI310-AS310,MAX(0,'Start Here'!$B$10-SUM($AJ310:$AS310)-SUMPRODUCT(($Z$3:$AI$3&lt;AI$3)*($Z310:$AI310-$AJ310:$AS310))))</f>
        <v>0</v>
      </c>
      <c r="P310" s="42" t="n">
        <f aca="false">ROUND(Z310-F310,2)</f>
        <v>0</v>
      </c>
      <c r="Q310" s="42" t="n">
        <f aca="false">ROUND(AA310-G310,2)</f>
        <v>0</v>
      </c>
      <c r="R310" s="42" t="n">
        <f aca="false">ROUND(AB310-H310,2)</f>
        <v>0</v>
      </c>
      <c r="S310" s="42" t="n">
        <f aca="false">ROUND(AC310-I310,2)</f>
        <v>0</v>
      </c>
      <c r="T310" s="42" t="n">
        <f aca="false">ROUND(AD310-J310,2)</f>
        <v>0</v>
      </c>
      <c r="U310" s="42" t="n">
        <f aca="false">ROUND(AE310-K310,2)</f>
        <v>0</v>
      </c>
      <c r="V310" s="42" t="n">
        <f aca="false">ROUND(AF310-L310,2)</f>
        <v>0</v>
      </c>
      <c r="W310" s="42" t="n">
        <f aca="false">ROUND(AG310-M310,2)</f>
        <v>0</v>
      </c>
      <c r="X310" s="42" t="n">
        <f aca="false">ROUND(AH310-N310,2)</f>
        <v>0</v>
      </c>
      <c r="Y310" s="42" t="n">
        <f aca="false">ROUND(AI310-O310,2)</f>
        <v>0</v>
      </c>
      <c r="Z310" s="56" t="n">
        <f aca="false">ROUND(P309*(1+N(Debts!$D$5)/12),2)</f>
        <v>0</v>
      </c>
      <c r="AA310" s="56" t="n">
        <f aca="false">ROUND(Q309*(1+N(Debts!$D$6)/12),2)</f>
        <v>0</v>
      </c>
      <c r="AB310" s="56" t="n">
        <f aca="false">ROUND(R309*(1+N(Debts!$D$7)/12),2)</f>
        <v>0</v>
      </c>
      <c r="AC310" s="56" t="n">
        <f aca="false">ROUND(S309*(1+N(Debts!$D$8)/12),2)</f>
        <v>0</v>
      </c>
      <c r="AD310" s="56" t="n">
        <f aca="false">ROUND(T309*(1+N(Debts!$D$9)/12),2)</f>
        <v>0</v>
      </c>
      <c r="AE310" s="56" t="n">
        <f aca="false">ROUND(U309*(1+N(Debts!$D$10)/12),2)</f>
        <v>0</v>
      </c>
      <c r="AF310" s="56" t="n">
        <f aca="false">ROUND(V309*(1+N(Debts!$D$11)/12),2)</f>
        <v>0</v>
      </c>
      <c r="AG310" s="56" t="n">
        <f aca="false">ROUND(W309*(1+N(Debts!$D$12)/12),2)</f>
        <v>0</v>
      </c>
      <c r="AH310" s="56" t="n">
        <f aca="false">ROUND(X309*(1+N(Debts!$D$13)/12),2)</f>
        <v>0</v>
      </c>
      <c r="AI310" s="56" t="n">
        <f aca="false">ROUND(Y309*(1+N(Debts!$D$14)/12),2)</f>
        <v>0</v>
      </c>
      <c r="AJ310" s="56" t="n">
        <f aca="false">MIN(Z310,MAX(0,N(Debts!$E$5)))</f>
        <v>0</v>
      </c>
      <c r="AK310" s="56" t="n">
        <f aca="false">MIN(AA310,MAX(0,N(Debts!$E$6)))</f>
        <v>0</v>
      </c>
      <c r="AL310" s="56" t="n">
        <f aca="false">MIN(AB310,MAX(0,N(Debts!$E$7)))</f>
        <v>0</v>
      </c>
      <c r="AM310" s="56" t="n">
        <f aca="false">MIN(AC310,MAX(0,N(Debts!$E$8)))</f>
        <v>0</v>
      </c>
      <c r="AN310" s="56" t="n">
        <f aca="false">MIN(AD310,MAX(0,N(Debts!$E$9)))</f>
        <v>0</v>
      </c>
      <c r="AO310" s="56" t="n">
        <f aca="false">MIN(AE310,MAX(0,N(Debts!$E$10)))</f>
        <v>0</v>
      </c>
      <c r="AP310" s="56" t="n">
        <f aca="false">MIN(AF310,MAX(0,N(Debts!$E$11)))</f>
        <v>0</v>
      </c>
      <c r="AQ310" s="56" t="n">
        <f aca="false">MIN(AG310,MAX(0,N(Debts!$E$12)))</f>
        <v>0</v>
      </c>
      <c r="AR310" s="56" t="n">
        <f aca="false">MIN(AH310,MAX(0,N(Debts!$E$13)))</f>
        <v>0</v>
      </c>
      <c r="AS310" s="56" t="n">
        <f aca="false">MIN(AI310,MAX(0,N(Debts!$E$14)))</f>
        <v>0</v>
      </c>
    </row>
    <row r="311" customFormat="false" ht="15" hidden="false" customHeight="false" outlineLevel="0" collapsed="false">
      <c r="A311" s="53" t="n">
        <v>307</v>
      </c>
      <c r="B311" s="54" t="n">
        <f aca="false">EDATE('Start Here'!$B$8,306)</f>
        <v>55640</v>
      </c>
      <c r="C311" s="42" t="n">
        <f aca="false">SUM(F311:O311)</f>
        <v>0</v>
      </c>
      <c r="D311" s="42" t="n">
        <f aca="false">ROUND(SUM($Z311:$AI311)-SUM(P310:Y310),2)</f>
        <v>0</v>
      </c>
      <c r="E311" s="55" t="n">
        <f aca="false">SUM(P311:Y311)</f>
        <v>0</v>
      </c>
      <c r="F311" s="42" t="n">
        <f aca="false">AJ311+MIN(Z311-AJ311,MAX(0,'Start Here'!$B$10-SUM($AJ311:$AS311)-SUMPRODUCT(($Z$3:$AI$3&lt;Z$3)*($Z311:$AI311-$AJ311:$AS311))))</f>
        <v>0</v>
      </c>
      <c r="G311" s="42" t="n">
        <f aca="false">AK311+MIN(AA311-AK311,MAX(0,'Start Here'!$B$10-SUM($AJ311:$AS311)-SUMPRODUCT(($Z$3:$AI$3&lt;AA$3)*($Z311:$AI311-$AJ311:$AS311))))</f>
        <v>0</v>
      </c>
      <c r="H311" s="42" t="n">
        <f aca="false">AL311+MIN(AB311-AL311,MAX(0,'Start Here'!$B$10-SUM($AJ311:$AS311)-SUMPRODUCT(($Z$3:$AI$3&lt;AB$3)*($Z311:$AI311-$AJ311:$AS311))))</f>
        <v>0</v>
      </c>
      <c r="I311" s="42" t="n">
        <f aca="false">AM311+MIN(AC311-AM311,MAX(0,'Start Here'!$B$10-SUM($AJ311:$AS311)-SUMPRODUCT(($Z$3:$AI$3&lt;AC$3)*($Z311:$AI311-$AJ311:$AS311))))</f>
        <v>0</v>
      </c>
      <c r="J311" s="42" t="n">
        <f aca="false">AN311+MIN(AD311-AN311,MAX(0,'Start Here'!$B$10-SUM($AJ311:$AS311)-SUMPRODUCT(($Z$3:$AI$3&lt;AD$3)*($Z311:$AI311-$AJ311:$AS311))))</f>
        <v>0</v>
      </c>
      <c r="K311" s="42" t="n">
        <f aca="false">AO311+MIN(AE311-AO311,MAX(0,'Start Here'!$B$10-SUM($AJ311:$AS311)-SUMPRODUCT(($Z$3:$AI$3&lt;AE$3)*($Z311:$AI311-$AJ311:$AS311))))</f>
        <v>0</v>
      </c>
      <c r="L311" s="42" t="n">
        <f aca="false">AP311+MIN(AF311-AP311,MAX(0,'Start Here'!$B$10-SUM($AJ311:$AS311)-SUMPRODUCT(($Z$3:$AI$3&lt;AF$3)*($Z311:$AI311-$AJ311:$AS311))))</f>
        <v>0</v>
      </c>
      <c r="M311" s="42" t="n">
        <f aca="false">AQ311+MIN(AG311-AQ311,MAX(0,'Start Here'!$B$10-SUM($AJ311:$AS311)-SUMPRODUCT(($Z$3:$AI$3&lt;AG$3)*($Z311:$AI311-$AJ311:$AS311))))</f>
        <v>0</v>
      </c>
      <c r="N311" s="42" t="n">
        <f aca="false">AR311+MIN(AH311-AR311,MAX(0,'Start Here'!$B$10-SUM($AJ311:$AS311)-SUMPRODUCT(($Z$3:$AI$3&lt;AH$3)*($Z311:$AI311-$AJ311:$AS311))))</f>
        <v>0</v>
      </c>
      <c r="O311" s="42" t="n">
        <f aca="false">AS311+MIN(AI311-AS311,MAX(0,'Start Here'!$B$10-SUM($AJ311:$AS311)-SUMPRODUCT(($Z$3:$AI$3&lt;AI$3)*($Z311:$AI311-$AJ311:$AS311))))</f>
        <v>0</v>
      </c>
      <c r="P311" s="42" t="n">
        <f aca="false">ROUND(Z311-F311,2)</f>
        <v>0</v>
      </c>
      <c r="Q311" s="42" t="n">
        <f aca="false">ROUND(AA311-G311,2)</f>
        <v>0</v>
      </c>
      <c r="R311" s="42" t="n">
        <f aca="false">ROUND(AB311-H311,2)</f>
        <v>0</v>
      </c>
      <c r="S311" s="42" t="n">
        <f aca="false">ROUND(AC311-I311,2)</f>
        <v>0</v>
      </c>
      <c r="T311" s="42" t="n">
        <f aca="false">ROUND(AD311-J311,2)</f>
        <v>0</v>
      </c>
      <c r="U311" s="42" t="n">
        <f aca="false">ROUND(AE311-K311,2)</f>
        <v>0</v>
      </c>
      <c r="V311" s="42" t="n">
        <f aca="false">ROUND(AF311-L311,2)</f>
        <v>0</v>
      </c>
      <c r="W311" s="42" t="n">
        <f aca="false">ROUND(AG311-M311,2)</f>
        <v>0</v>
      </c>
      <c r="X311" s="42" t="n">
        <f aca="false">ROUND(AH311-N311,2)</f>
        <v>0</v>
      </c>
      <c r="Y311" s="42" t="n">
        <f aca="false">ROUND(AI311-O311,2)</f>
        <v>0</v>
      </c>
      <c r="Z311" s="56" t="n">
        <f aca="false">ROUND(P310*(1+N(Debts!$D$5)/12),2)</f>
        <v>0</v>
      </c>
      <c r="AA311" s="56" t="n">
        <f aca="false">ROUND(Q310*(1+N(Debts!$D$6)/12),2)</f>
        <v>0</v>
      </c>
      <c r="AB311" s="56" t="n">
        <f aca="false">ROUND(R310*(1+N(Debts!$D$7)/12),2)</f>
        <v>0</v>
      </c>
      <c r="AC311" s="56" t="n">
        <f aca="false">ROUND(S310*(1+N(Debts!$D$8)/12),2)</f>
        <v>0</v>
      </c>
      <c r="AD311" s="56" t="n">
        <f aca="false">ROUND(T310*(1+N(Debts!$D$9)/12),2)</f>
        <v>0</v>
      </c>
      <c r="AE311" s="56" t="n">
        <f aca="false">ROUND(U310*(1+N(Debts!$D$10)/12),2)</f>
        <v>0</v>
      </c>
      <c r="AF311" s="56" t="n">
        <f aca="false">ROUND(V310*(1+N(Debts!$D$11)/12),2)</f>
        <v>0</v>
      </c>
      <c r="AG311" s="56" t="n">
        <f aca="false">ROUND(W310*(1+N(Debts!$D$12)/12),2)</f>
        <v>0</v>
      </c>
      <c r="AH311" s="56" t="n">
        <f aca="false">ROUND(X310*(1+N(Debts!$D$13)/12),2)</f>
        <v>0</v>
      </c>
      <c r="AI311" s="56" t="n">
        <f aca="false">ROUND(Y310*(1+N(Debts!$D$14)/12),2)</f>
        <v>0</v>
      </c>
      <c r="AJ311" s="56" t="n">
        <f aca="false">MIN(Z311,MAX(0,N(Debts!$E$5)))</f>
        <v>0</v>
      </c>
      <c r="AK311" s="56" t="n">
        <f aca="false">MIN(AA311,MAX(0,N(Debts!$E$6)))</f>
        <v>0</v>
      </c>
      <c r="AL311" s="56" t="n">
        <f aca="false">MIN(AB311,MAX(0,N(Debts!$E$7)))</f>
        <v>0</v>
      </c>
      <c r="AM311" s="56" t="n">
        <f aca="false">MIN(AC311,MAX(0,N(Debts!$E$8)))</f>
        <v>0</v>
      </c>
      <c r="AN311" s="56" t="n">
        <f aca="false">MIN(AD311,MAX(0,N(Debts!$E$9)))</f>
        <v>0</v>
      </c>
      <c r="AO311" s="56" t="n">
        <f aca="false">MIN(AE311,MAX(0,N(Debts!$E$10)))</f>
        <v>0</v>
      </c>
      <c r="AP311" s="56" t="n">
        <f aca="false">MIN(AF311,MAX(0,N(Debts!$E$11)))</f>
        <v>0</v>
      </c>
      <c r="AQ311" s="56" t="n">
        <f aca="false">MIN(AG311,MAX(0,N(Debts!$E$12)))</f>
        <v>0</v>
      </c>
      <c r="AR311" s="56" t="n">
        <f aca="false">MIN(AH311,MAX(0,N(Debts!$E$13)))</f>
        <v>0</v>
      </c>
      <c r="AS311" s="56" t="n">
        <f aca="false">MIN(AI311,MAX(0,N(Debts!$E$14)))</f>
        <v>0</v>
      </c>
    </row>
    <row r="312" customFormat="false" ht="15" hidden="false" customHeight="false" outlineLevel="0" collapsed="false">
      <c r="A312" s="53" t="n">
        <v>308</v>
      </c>
      <c r="B312" s="54" t="n">
        <f aca="false">EDATE('Start Here'!$B$8,307)</f>
        <v>55671</v>
      </c>
      <c r="C312" s="42" t="n">
        <f aca="false">SUM(F312:O312)</f>
        <v>0</v>
      </c>
      <c r="D312" s="42" t="n">
        <f aca="false">ROUND(SUM($Z312:$AI312)-SUM(P311:Y311),2)</f>
        <v>0</v>
      </c>
      <c r="E312" s="55" t="n">
        <f aca="false">SUM(P312:Y312)</f>
        <v>0</v>
      </c>
      <c r="F312" s="42" t="n">
        <f aca="false">AJ312+MIN(Z312-AJ312,MAX(0,'Start Here'!$B$10-SUM($AJ312:$AS312)-SUMPRODUCT(($Z$3:$AI$3&lt;Z$3)*($Z312:$AI312-$AJ312:$AS312))))</f>
        <v>0</v>
      </c>
      <c r="G312" s="42" t="n">
        <f aca="false">AK312+MIN(AA312-AK312,MAX(0,'Start Here'!$B$10-SUM($AJ312:$AS312)-SUMPRODUCT(($Z$3:$AI$3&lt;AA$3)*($Z312:$AI312-$AJ312:$AS312))))</f>
        <v>0</v>
      </c>
      <c r="H312" s="42" t="n">
        <f aca="false">AL312+MIN(AB312-AL312,MAX(0,'Start Here'!$B$10-SUM($AJ312:$AS312)-SUMPRODUCT(($Z$3:$AI$3&lt;AB$3)*($Z312:$AI312-$AJ312:$AS312))))</f>
        <v>0</v>
      </c>
      <c r="I312" s="42" t="n">
        <f aca="false">AM312+MIN(AC312-AM312,MAX(0,'Start Here'!$B$10-SUM($AJ312:$AS312)-SUMPRODUCT(($Z$3:$AI$3&lt;AC$3)*($Z312:$AI312-$AJ312:$AS312))))</f>
        <v>0</v>
      </c>
      <c r="J312" s="42" t="n">
        <f aca="false">AN312+MIN(AD312-AN312,MAX(0,'Start Here'!$B$10-SUM($AJ312:$AS312)-SUMPRODUCT(($Z$3:$AI$3&lt;AD$3)*($Z312:$AI312-$AJ312:$AS312))))</f>
        <v>0</v>
      </c>
      <c r="K312" s="42" t="n">
        <f aca="false">AO312+MIN(AE312-AO312,MAX(0,'Start Here'!$B$10-SUM($AJ312:$AS312)-SUMPRODUCT(($Z$3:$AI$3&lt;AE$3)*($Z312:$AI312-$AJ312:$AS312))))</f>
        <v>0</v>
      </c>
      <c r="L312" s="42" t="n">
        <f aca="false">AP312+MIN(AF312-AP312,MAX(0,'Start Here'!$B$10-SUM($AJ312:$AS312)-SUMPRODUCT(($Z$3:$AI$3&lt;AF$3)*($Z312:$AI312-$AJ312:$AS312))))</f>
        <v>0</v>
      </c>
      <c r="M312" s="42" t="n">
        <f aca="false">AQ312+MIN(AG312-AQ312,MAX(0,'Start Here'!$B$10-SUM($AJ312:$AS312)-SUMPRODUCT(($Z$3:$AI$3&lt;AG$3)*($Z312:$AI312-$AJ312:$AS312))))</f>
        <v>0</v>
      </c>
      <c r="N312" s="42" t="n">
        <f aca="false">AR312+MIN(AH312-AR312,MAX(0,'Start Here'!$B$10-SUM($AJ312:$AS312)-SUMPRODUCT(($Z$3:$AI$3&lt;AH$3)*($Z312:$AI312-$AJ312:$AS312))))</f>
        <v>0</v>
      </c>
      <c r="O312" s="42" t="n">
        <f aca="false">AS312+MIN(AI312-AS312,MAX(0,'Start Here'!$B$10-SUM($AJ312:$AS312)-SUMPRODUCT(($Z$3:$AI$3&lt;AI$3)*($Z312:$AI312-$AJ312:$AS312))))</f>
        <v>0</v>
      </c>
      <c r="P312" s="42" t="n">
        <f aca="false">ROUND(Z312-F312,2)</f>
        <v>0</v>
      </c>
      <c r="Q312" s="42" t="n">
        <f aca="false">ROUND(AA312-G312,2)</f>
        <v>0</v>
      </c>
      <c r="R312" s="42" t="n">
        <f aca="false">ROUND(AB312-H312,2)</f>
        <v>0</v>
      </c>
      <c r="S312" s="42" t="n">
        <f aca="false">ROUND(AC312-I312,2)</f>
        <v>0</v>
      </c>
      <c r="T312" s="42" t="n">
        <f aca="false">ROUND(AD312-J312,2)</f>
        <v>0</v>
      </c>
      <c r="U312" s="42" t="n">
        <f aca="false">ROUND(AE312-K312,2)</f>
        <v>0</v>
      </c>
      <c r="V312" s="42" t="n">
        <f aca="false">ROUND(AF312-L312,2)</f>
        <v>0</v>
      </c>
      <c r="W312" s="42" t="n">
        <f aca="false">ROUND(AG312-M312,2)</f>
        <v>0</v>
      </c>
      <c r="X312" s="42" t="n">
        <f aca="false">ROUND(AH312-N312,2)</f>
        <v>0</v>
      </c>
      <c r="Y312" s="42" t="n">
        <f aca="false">ROUND(AI312-O312,2)</f>
        <v>0</v>
      </c>
      <c r="Z312" s="56" t="n">
        <f aca="false">ROUND(P311*(1+N(Debts!$D$5)/12),2)</f>
        <v>0</v>
      </c>
      <c r="AA312" s="56" t="n">
        <f aca="false">ROUND(Q311*(1+N(Debts!$D$6)/12),2)</f>
        <v>0</v>
      </c>
      <c r="AB312" s="56" t="n">
        <f aca="false">ROUND(R311*(1+N(Debts!$D$7)/12),2)</f>
        <v>0</v>
      </c>
      <c r="AC312" s="56" t="n">
        <f aca="false">ROUND(S311*(1+N(Debts!$D$8)/12),2)</f>
        <v>0</v>
      </c>
      <c r="AD312" s="56" t="n">
        <f aca="false">ROUND(T311*(1+N(Debts!$D$9)/12),2)</f>
        <v>0</v>
      </c>
      <c r="AE312" s="56" t="n">
        <f aca="false">ROUND(U311*(1+N(Debts!$D$10)/12),2)</f>
        <v>0</v>
      </c>
      <c r="AF312" s="56" t="n">
        <f aca="false">ROUND(V311*(1+N(Debts!$D$11)/12),2)</f>
        <v>0</v>
      </c>
      <c r="AG312" s="56" t="n">
        <f aca="false">ROUND(W311*(1+N(Debts!$D$12)/12),2)</f>
        <v>0</v>
      </c>
      <c r="AH312" s="56" t="n">
        <f aca="false">ROUND(X311*(1+N(Debts!$D$13)/12),2)</f>
        <v>0</v>
      </c>
      <c r="AI312" s="56" t="n">
        <f aca="false">ROUND(Y311*(1+N(Debts!$D$14)/12),2)</f>
        <v>0</v>
      </c>
      <c r="AJ312" s="56" t="n">
        <f aca="false">MIN(Z312,MAX(0,N(Debts!$E$5)))</f>
        <v>0</v>
      </c>
      <c r="AK312" s="56" t="n">
        <f aca="false">MIN(AA312,MAX(0,N(Debts!$E$6)))</f>
        <v>0</v>
      </c>
      <c r="AL312" s="56" t="n">
        <f aca="false">MIN(AB312,MAX(0,N(Debts!$E$7)))</f>
        <v>0</v>
      </c>
      <c r="AM312" s="56" t="n">
        <f aca="false">MIN(AC312,MAX(0,N(Debts!$E$8)))</f>
        <v>0</v>
      </c>
      <c r="AN312" s="56" t="n">
        <f aca="false">MIN(AD312,MAX(0,N(Debts!$E$9)))</f>
        <v>0</v>
      </c>
      <c r="AO312" s="56" t="n">
        <f aca="false">MIN(AE312,MAX(0,N(Debts!$E$10)))</f>
        <v>0</v>
      </c>
      <c r="AP312" s="56" t="n">
        <f aca="false">MIN(AF312,MAX(0,N(Debts!$E$11)))</f>
        <v>0</v>
      </c>
      <c r="AQ312" s="56" t="n">
        <f aca="false">MIN(AG312,MAX(0,N(Debts!$E$12)))</f>
        <v>0</v>
      </c>
      <c r="AR312" s="56" t="n">
        <f aca="false">MIN(AH312,MAX(0,N(Debts!$E$13)))</f>
        <v>0</v>
      </c>
      <c r="AS312" s="56" t="n">
        <f aca="false">MIN(AI312,MAX(0,N(Debts!$E$14)))</f>
        <v>0</v>
      </c>
    </row>
    <row r="313" customFormat="false" ht="15" hidden="false" customHeight="false" outlineLevel="0" collapsed="false">
      <c r="A313" s="53" t="n">
        <v>309</v>
      </c>
      <c r="B313" s="54" t="n">
        <f aca="false">EDATE('Start Here'!$B$8,308)</f>
        <v>55701</v>
      </c>
      <c r="C313" s="42" t="n">
        <f aca="false">SUM(F313:O313)</f>
        <v>0</v>
      </c>
      <c r="D313" s="42" t="n">
        <f aca="false">ROUND(SUM($Z313:$AI313)-SUM(P312:Y312),2)</f>
        <v>0</v>
      </c>
      <c r="E313" s="55" t="n">
        <f aca="false">SUM(P313:Y313)</f>
        <v>0</v>
      </c>
      <c r="F313" s="42" t="n">
        <f aca="false">AJ313+MIN(Z313-AJ313,MAX(0,'Start Here'!$B$10-SUM($AJ313:$AS313)-SUMPRODUCT(($Z$3:$AI$3&lt;Z$3)*($Z313:$AI313-$AJ313:$AS313))))</f>
        <v>0</v>
      </c>
      <c r="G313" s="42" t="n">
        <f aca="false">AK313+MIN(AA313-AK313,MAX(0,'Start Here'!$B$10-SUM($AJ313:$AS313)-SUMPRODUCT(($Z$3:$AI$3&lt;AA$3)*($Z313:$AI313-$AJ313:$AS313))))</f>
        <v>0</v>
      </c>
      <c r="H313" s="42" t="n">
        <f aca="false">AL313+MIN(AB313-AL313,MAX(0,'Start Here'!$B$10-SUM($AJ313:$AS313)-SUMPRODUCT(($Z$3:$AI$3&lt;AB$3)*($Z313:$AI313-$AJ313:$AS313))))</f>
        <v>0</v>
      </c>
      <c r="I313" s="42" t="n">
        <f aca="false">AM313+MIN(AC313-AM313,MAX(0,'Start Here'!$B$10-SUM($AJ313:$AS313)-SUMPRODUCT(($Z$3:$AI$3&lt;AC$3)*($Z313:$AI313-$AJ313:$AS313))))</f>
        <v>0</v>
      </c>
      <c r="J313" s="42" t="n">
        <f aca="false">AN313+MIN(AD313-AN313,MAX(0,'Start Here'!$B$10-SUM($AJ313:$AS313)-SUMPRODUCT(($Z$3:$AI$3&lt;AD$3)*($Z313:$AI313-$AJ313:$AS313))))</f>
        <v>0</v>
      </c>
      <c r="K313" s="42" t="n">
        <f aca="false">AO313+MIN(AE313-AO313,MAX(0,'Start Here'!$B$10-SUM($AJ313:$AS313)-SUMPRODUCT(($Z$3:$AI$3&lt;AE$3)*($Z313:$AI313-$AJ313:$AS313))))</f>
        <v>0</v>
      </c>
      <c r="L313" s="42" t="n">
        <f aca="false">AP313+MIN(AF313-AP313,MAX(0,'Start Here'!$B$10-SUM($AJ313:$AS313)-SUMPRODUCT(($Z$3:$AI$3&lt;AF$3)*($Z313:$AI313-$AJ313:$AS313))))</f>
        <v>0</v>
      </c>
      <c r="M313" s="42" t="n">
        <f aca="false">AQ313+MIN(AG313-AQ313,MAX(0,'Start Here'!$B$10-SUM($AJ313:$AS313)-SUMPRODUCT(($Z$3:$AI$3&lt;AG$3)*($Z313:$AI313-$AJ313:$AS313))))</f>
        <v>0</v>
      </c>
      <c r="N313" s="42" t="n">
        <f aca="false">AR313+MIN(AH313-AR313,MAX(0,'Start Here'!$B$10-SUM($AJ313:$AS313)-SUMPRODUCT(($Z$3:$AI$3&lt;AH$3)*($Z313:$AI313-$AJ313:$AS313))))</f>
        <v>0</v>
      </c>
      <c r="O313" s="42" t="n">
        <f aca="false">AS313+MIN(AI313-AS313,MAX(0,'Start Here'!$B$10-SUM($AJ313:$AS313)-SUMPRODUCT(($Z$3:$AI$3&lt;AI$3)*($Z313:$AI313-$AJ313:$AS313))))</f>
        <v>0</v>
      </c>
      <c r="P313" s="42" t="n">
        <f aca="false">ROUND(Z313-F313,2)</f>
        <v>0</v>
      </c>
      <c r="Q313" s="42" t="n">
        <f aca="false">ROUND(AA313-G313,2)</f>
        <v>0</v>
      </c>
      <c r="R313" s="42" t="n">
        <f aca="false">ROUND(AB313-H313,2)</f>
        <v>0</v>
      </c>
      <c r="S313" s="42" t="n">
        <f aca="false">ROUND(AC313-I313,2)</f>
        <v>0</v>
      </c>
      <c r="T313" s="42" t="n">
        <f aca="false">ROUND(AD313-J313,2)</f>
        <v>0</v>
      </c>
      <c r="U313" s="42" t="n">
        <f aca="false">ROUND(AE313-K313,2)</f>
        <v>0</v>
      </c>
      <c r="V313" s="42" t="n">
        <f aca="false">ROUND(AF313-L313,2)</f>
        <v>0</v>
      </c>
      <c r="W313" s="42" t="n">
        <f aca="false">ROUND(AG313-M313,2)</f>
        <v>0</v>
      </c>
      <c r="X313" s="42" t="n">
        <f aca="false">ROUND(AH313-N313,2)</f>
        <v>0</v>
      </c>
      <c r="Y313" s="42" t="n">
        <f aca="false">ROUND(AI313-O313,2)</f>
        <v>0</v>
      </c>
      <c r="Z313" s="56" t="n">
        <f aca="false">ROUND(P312*(1+N(Debts!$D$5)/12),2)</f>
        <v>0</v>
      </c>
      <c r="AA313" s="56" t="n">
        <f aca="false">ROUND(Q312*(1+N(Debts!$D$6)/12),2)</f>
        <v>0</v>
      </c>
      <c r="AB313" s="56" t="n">
        <f aca="false">ROUND(R312*(1+N(Debts!$D$7)/12),2)</f>
        <v>0</v>
      </c>
      <c r="AC313" s="56" t="n">
        <f aca="false">ROUND(S312*(1+N(Debts!$D$8)/12),2)</f>
        <v>0</v>
      </c>
      <c r="AD313" s="56" t="n">
        <f aca="false">ROUND(T312*(1+N(Debts!$D$9)/12),2)</f>
        <v>0</v>
      </c>
      <c r="AE313" s="56" t="n">
        <f aca="false">ROUND(U312*(1+N(Debts!$D$10)/12),2)</f>
        <v>0</v>
      </c>
      <c r="AF313" s="56" t="n">
        <f aca="false">ROUND(V312*(1+N(Debts!$D$11)/12),2)</f>
        <v>0</v>
      </c>
      <c r="AG313" s="56" t="n">
        <f aca="false">ROUND(W312*(1+N(Debts!$D$12)/12),2)</f>
        <v>0</v>
      </c>
      <c r="AH313" s="56" t="n">
        <f aca="false">ROUND(X312*(1+N(Debts!$D$13)/12),2)</f>
        <v>0</v>
      </c>
      <c r="AI313" s="56" t="n">
        <f aca="false">ROUND(Y312*(1+N(Debts!$D$14)/12),2)</f>
        <v>0</v>
      </c>
      <c r="AJ313" s="56" t="n">
        <f aca="false">MIN(Z313,MAX(0,N(Debts!$E$5)))</f>
        <v>0</v>
      </c>
      <c r="AK313" s="56" t="n">
        <f aca="false">MIN(AA313,MAX(0,N(Debts!$E$6)))</f>
        <v>0</v>
      </c>
      <c r="AL313" s="56" t="n">
        <f aca="false">MIN(AB313,MAX(0,N(Debts!$E$7)))</f>
        <v>0</v>
      </c>
      <c r="AM313" s="56" t="n">
        <f aca="false">MIN(AC313,MAX(0,N(Debts!$E$8)))</f>
        <v>0</v>
      </c>
      <c r="AN313" s="56" t="n">
        <f aca="false">MIN(AD313,MAX(0,N(Debts!$E$9)))</f>
        <v>0</v>
      </c>
      <c r="AO313" s="56" t="n">
        <f aca="false">MIN(AE313,MAX(0,N(Debts!$E$10)))</f>
        <v>0</v>
      </c>
      <c r="AP313" s="56" t="n">
        <f aca="false">MIN(AF313,MAX(0,N(Debts!$E$11)))</f>
        <v>0</v>
      </c>
      <c r="AQ313" s="56" t="n">
        <f aca="false">MIN(AG313,MAX(0,N(Debts!$E$12)))</f>
        <v>0</v>
      </c>
      <c r="AR313" s="56" t="n">
        <f aca="false">MIN(AH313,MAX(0,N(Debts!$E$13)))</f>
        <v>0</v>
      </c>
      <c r="AS313" s="56" t="n">
        <f aca="false">MIN(AI313,MAX(0,N(Debts!$E$14)))</f>
        <v>0</v>
      </c>
    </row>
    <row r="314" customFormat="false" ht="15" hidden="false" customHeight="false" outlineLevel="0" collapsed="false">
      <c r="A314" s="53" t="n">
        <v>310</v>
      </c>
      <c r="B314" s="54" t="n">
        <f aca="false">EDATE('Start Here'!$B$8,309)</f>
        <v>55732</v>
      </c>
      <c r="C314" s="42" t="n">
        <f aca="false">SUM(F314:O314)</f>
        <v>0</v>
      </c>
      <c r="D314" s="42" t="n">
        <f aca="false">ROUND(SUM($Z314:$AI314)-SUM(P313:Y313),2)</f>
        <v>0</v>
      </c>
      <c r="E314" s="55" t="n">
        <f aca="false">SUM(P314:Y314)</f>
        <v>0</v>
      </c>
      <c r="F314" s="42" t="n">
        <f aca="false">AJ314+MIN(Z314-AJ314,MAX(0,'Start Here'!$B$10-SUM($AJ314:$AS314)-SUMPRODUCT(($Z$3:$AI$3&lt;Z$3)*($Z314:$AI314-$AJ314:$AS314))))</f>
        <v>0</v>
      </c>
      <c r="G314" s="42" t="n">
        <f aca="false">AK314+MIN(AA314-AK314,MAX(0,'Start Here'!$B$10-SUM($AJ314:$AS314)-SUMPRODUCT(($Z$3:$AI$3&lt;AA$3)*($Z314:$AI314-$AJ314:$AS314))))</f>
        <v>0</v>
      </c>
      <c r="H314" s="42" t="n">
        <f aca="false">AL314+MIN(AB314-AL314,MAX(0,'Start Here'!$B$10-SUM($AJ314:$AS314)-SUMPRODUCT(($Z$3:$AI$3&lt;AB$3)*($Z314:$AI314-$AJ314:$AS314))))</f>
        <v>0</v>
      </c>
      <c r="I314" s="42" t="n">
        <f aca="false">AM314+MIN(AC314-AM314,MAX(0,'Start Here'!$B$10-SUM($AJ314:$AS314)-SUMPRODUCT(($Z$3:$AI$3&lt;AC$3)*($Z314:$AI314-$AJ314:$AS314))))</f>
        <v>0</v>
      </c>
      <c r="J314" s="42" t="n">
        <f aca="false">AN314+MIN(AD314-AN314,MAX(0,'Start Here'!$B$10-SUM($AJ314:$AS314)-SUMPRODUCT(($Z$3:$AI$3&lt;AD$3)*($Z314:$AI314-$AJ314:$AS314))))</f>
        <v>0</v>
      </c>
      <c r="K314" s="42" t="n">
        <f aca="false">AO314+MIN(AE314-AO314,MAX(0,'Start Here'!$B$10-SUM($AJ314:$AS314)-SUMPRODUCT(($Z$3:$AI$3&lt;AE$3)*($Z314:$AI314-$AJ314:$AS314))))</f>
        <v>0</v>
      </c>
      <c r="L314" s="42" t="n">
        <f aca="false">AP314+MIN(AF314-AP314,MAX(0,'Start Here'!$B$10-SUM($AJ314:$AS314)-SUMPRODUCT(($Z$3:$AI$3&lt;AF$3)*($Z314:$AI314-$AJ314:$AS314))))</f>
        <v>0</v>
      </c>
      <c r="M314" s="42" t="n">
        <f aca="false">AQ314+MIN(AG314-AQ314,MAX(0,'Start Here'!$B$10-SUM($AJ314:$AS314)-SUMPRODUCT(($Z$3:$AI$3&lt;AG$3)*($Z314:$AI314-$AJ314:$AS314))))</f>
        <v>0</v>
      </c>
      <c r="N314" s="42" t="n">
        <f aca="false">AR314+MIN(AH314-AR314,MAX(0,'Start Here'!$B$10-SUM($AJ314:$AS314)-SUMPRODUCT(($Z$3:$AI$3&lt;AH$3)*($Z314:$AI314-$AJ314:$AS314))))</f>
        <v>0</v>
      </c>
      <c r="O314" s="42" t="n">
        <f aca="false">AS314+MIN(AI314-AS314,MAX(0,'Start Here'!$B$10-SUM($AJ314:$AS314)-SUMPRODUCT(($Z$3:$AI$3&lt;AI$3)*($Z314:$AI314-$AJ314:$AS314))))</f>
        <v>0</v>
      </c>
      <c r="P314" s="42" t="n">
        <f aca="false">ROUND(Z314-F314,2)</f>
        <v>0</v>
      </c>
      <c r="Q314" s="42" t="n">
        <f aca="false">ROUND(AA314-G314,2)</f>
        <v>0</v>
      </c>
      <c r="R314" s="42" t="n">
        <f aca="false">ROUND(AB314-H314,2)</f>
        <v>0</v>
      </c>
      <c r="S314" s="42" t="n">
        <f aca="false">ROUND(AC314-I314,2)</f>
        <v>0</v>
      </c>
      <c r="T314" s="42" t="n">
        <f aca="false">ROUND(AD314-J314,2)</f>
        <v>0</v>
      </c>
      <c r="U314" s="42" t="n">
        <f aca="false">ROUND(AE314-K314,2)</f>
        <v>0</v>
      </c>
      <c r="V314" s="42" t="n">
        <f aca="false">ROUND(AF314-L314,2)</f>
        <v>0</v>
      </c>
      <c r="W314" s="42" t="n">
        <f aca="false">ROUND(AG314-M314,2)</f>
        <v>0</v>
      </c>
      <c r="X314" s="42" t="n">
        <f aca="false">ROUND(AH314-N314,2)</f>
        <v>0</v>
      </c>
      <c r="Y314" s="42" t="n">
        <f aca="false">ROUND(AI314-O314,2)</f>
        <v>0</v>
      </c>
      <c r="Z314" s="56" t="n">
        <f aca="false">ROUND(P313*(1+N(Debts!$D$5)/12),2)</f>
        <v>0</v>
      </c>
      <c r="AA314" s="56" t="n">
        <f aca="false">ROUND(Q313*(1+N(Debts!$D$6)/12),2)</f>
        <v>0</v>
      </c>
      <c r="AB314" s="56" t="n">
        <f aca="false">ROUND(R313*(1+N(Debts!$D$7)/12),2)</f>
        <v>0</v>
      </c>
      <c r="AC314" s="56" t="n">
        <f aca="false">ROUND(S313*(1+N(Debts!$D$8)/12),2)</f>
        <v>0</v>
      </c>
      <c r="AD314" s="56" t="n">
        <f aca="false">ROUND(T313*(1+N(Debts!$D$9)/12),2)</f>
        <v>0</v>
      </c>
      <c r="AE314" s="56" t="n">
        <f aca="false">ROUND(U313*(1+N(Debts!$D$10)/12),2)</f>
        <v>0</v>
      </c>
      <c r="AF314" s="56" t="n">
        <f aca="false">ROUND(V313*(1+N(Debts!$D$11)/12),2)</f>
        <v>0</v>
      </c>
      <c r="AG314" s="56" t="n">
        <f aca="false">ROUND(W313*(1+N(Debts!$D$12)/12),2)</f>
        <v>0</v>
      </c>
      <c r="AH314" s="56" t="n">
        <f aca="false">ROUND(X313*(1+N(Debts!$D$13)/12),2)</f>
        <v>0</v>
      </c>
      <c r="AI314" s="56" t="n">
        <f aca="false">ROUND(Y313*(1+N(Debts!$D$14)/12),2)</f>
        <v>0</v>
      </c>
      <c r="AJ314" s="56" t="n">
        <f aca="false">MIN(Z314,MAX(0,N(Debts!$E$5)))</f>
        <v>0</v>
      </c>
      <c r="AK314" s="56" t="n">
        <f aca="false">MIN(AA314,MAX(0,N(Debts!$E$6)))</f>
        <v>0</v>
      </c>
      <c r="AL314" s="56" t="n">
        <f aca="false">MIN(AB314,MAX(0,N(Debts!$E$7)))</f>
        <v>0</v>
      </c>
      <c r="AM314" s="56" t="n">
        <f aca="false">MIN(AC314,MAX(0,N(Debts!$E$8)))</f>
        <v>0</v>
      </c>
      <c r="AN314" s="56" t="n">
        <f aca="false">MIN(AD314,MAX(0,N(Debts!$E$9)))</f>
        <v>0</v>
      </c>
      <c r="AO314" s="56" t="n">
        <f aca="false">MIN(AE314,MAX(0,N(Debts!$E$10)))</f>
        <v>0</v>
      </c>
      <c r="AP314" s="56" t="n">
        <f aca="false">MIN(AF314,MAX(0,N(Debts!$E$11)))</f>
        <v>0</v>
      </c>
      <c r="AQ314" s="56" t="n">
        <f aca="false">MIN(AG314,MAX(0,N(Debts!$E$12)))</f>
        <v>0</v>
      </c>
      <c r="AR314" s="56" t="n">
        <f aca="false">MIN(AH314,MAX(0,N(Debts!$E$13)))</f>
        <v>0</v>
      </c>
      <c r="AS314" s="56" t="n">
        <f aca="false">MIN(AI314,MAX(0,N(Debts!$E$14)))</f>
        <v>0</v>
      </c>
    </row>
    <row r="315" customFormat="false" ht="15" hidden="false" customHeight="false" outlineLevel="0" collapsed="false">
      <c r="A315" s="53" t="n">
        <v>311</v>
      </c>
      <c r="B315" s="54" t="n">
        <f aca="false">EDATE('Start Here'!$B$8,310)</f>
        <v>55763</v>
      </c>
      <c r="C315" s="42" t="n">
        <f aca="false">SUM(F315:O315)</f>
        <v>0</v>
      </c>
      <c r="D315" s="42" t="n">
        <f aca="false">ROUND(SUM($Z315:$AI315)-SUM(P314:Y314),2)</f>
        <v>0</v>
      </c>
      <c r="E315" s="55" t="n">
        <f aca="false">SUM(P315:Y315)</f>
        <v>0</v>
      </c>
      <c r="F315" s="42" t="n">
        <f aca="false">AJ315+MIN(Z315-AJ315,MAX(0,'Start Here'!$B$10-SUM($AJ315:$AS315)-SUMPRODUCT(($Z$3:$AI$3&lt;Z$3)*($Z315:$AI315-$AJ315:$AS315))))</f>
        <v>0</v>
      </c>
      <c r="G315" s="42" t="n">
        <f aca="false">AK315+MIN(AA315-AK315,MAX(0,'Start Here'!$B$10-SUM($AJ315:$AS315)-SUMPRODUCT(($Z$3:$AI$3&lt;AA$3)*($Z315:$AI315-$AJ315:$AS315))))</f>
        <v>0</v>
      </c>
      <c r="H315" s="42" t="n">
        <f aca="false">AL315+MIN(AB315-AL315,MAX(0,'Start Here'!$B$10-SUM($AJ315:$AS315)-SUMPRODUCT(($Z$3:$AI$3&lt;AB$3)*($Z315:$AI315-$AJ315:$AS315))))</f>
        <v>0</v>
      </c>
      <c r="I315" s="42" t="n">
        <f aca="false">AM315+MIN(AC315-AM315,MAX(0,'Start Here'!$B$10-SUM($AJ315:$AS315)-SUMPRODUCT(($Z$3:$AI$3&lt;AC$3)*($Z315:$AI315-$AJ315:$AS315))))</f>
        <v>0</v>
      </c>
      <c r="J315" s="42" t="n">
        <f aca="false">AN315+MIN(AD315-AN315,MAX(0,'Start Here'!$B$10-SUM($AJ315:$AS315)-SUMPRODUCT(($Z$3:$AI$3&lt;AD$3)*($Z315:$AI315-$AJ315:$AS315))))</f>
        <v>0</v>
      </c>
      <c r="K315" s="42" t="n">
        <f aca="false">AO315+MIN(AE315-AO315,MAX(0,'Start Here'!$B$10-SUM($AJ315:$AS315)-SUMPRODUCT(($Z$3:$AI$3&lt;AE$3)*($Z315:$AI315-$AJ315:$AS315))))</f>
        <v>0</v>
      </c>
      <c r="L315" s="42" t="n">
        <f aca="false">AP315+MIN(AF315-AP315,MAX(0,'Start Here'!$B$10-SUM($AJ315:$AS315)-SUMPRODUCT(($Z$3:$AI$3&lt;AF$3)*($Z315:$AI315-$AJ315:$AS315))))</f>
        <v>0</v>
      </c>
      <c r="M315" s="42" t="n">
        <f aca="false">AQ315+MIN(AG315-AQ315,MAX(0,'Start Here'!$B$10-SUM($AJ315:$AS315)-SUMPRODUCT(($Z$3:$AI$3&lt;AG$3)*($Z315:$AI315-$AJ315:$AS315))))</f>
        <v>0</v>
      </c>
      <c r="N315" s="42" t="n">
        <f aca="false">AR315+MIN(AH315-AR315,MAX(0,'Start Here'!$B$10-SUM($AJ315:$AS315)-SUMPRODUCT(($Z$3:$AI$3&lt;AH$3)*($Z315:$AI315-$AJ315:$AS315))))</f>
        <v>0</v>
      </c>
      <c r="O315" s="42" t="n">
        <f aca="false">AS315+MIN(AI315-AS315,MAX(0,'Start Here'!$B$10-SUM($AJ315:$AS315)-SUMPRODUCT(($Z$3:$AI$3&lt;AI$3)*($Z315:$AI315-$AJ315:$AS315))))</f>
        <v>0</v>
      </c>
      <c r="P315" s="42" t="n">
        <f aca="false">ROUND(Z315-F315,2)</f>
        <v>0</v>
      </c>
      <c r="Q315" s="42" t="n">
        <f aca="false">ROUND(AA315-G315,2)</f>
        <v>0</v>
      </c>
      <c r="R315" s="42" t="n">
        <f aca="false">ROUND(AB315-H315,2)</f>
        <v>0</v>
      </c>
      <c r="S315" s="42" t="n">
        <f aca="false">ROUND(AC315-I315,2)</f>
        <v>0</v>
      </c>
      <c r="T315" s="42" t="n">
        <f aca="false">ROUND(AD315-J315,2)</f>
        <v>0</v>
      </c>
      <c r="U315" s="42" t="n">
        <f aca="false">ROUND(AE315-K315,2)</f>
        <v>0</v>
      </c>
      <c r="V315" s="42" t="n">
        <f aca="false">ROUND(AF315-L315,2)</f>
        <v>0</v>
      </c>
      <c r="W315" s="42" t="n">
        <f aca="false">ROUND(AG315-M315,2)</f>
        <v>0</v>
      </c>
      <c r="X315" s="42" t="n">
        <f aca="false">ROUND(AH315-N315,2)</f>
        <v>0</v>
      </c>
      <c r="Y315" s="42" t="n">
        <f aca="false">ROUND(AI315-O315,2)</f>
        <v>0</v>
      </c>
      <c r="Z315" s="56" t="n">
        <f aca="false">ROUND(P314*(1+N(Debts!$D$5)/12),2)</f>
        <v>0</v>
      </c>
      <c r="AA315" s="56" t="n">
        <f aca="false">ROUND(Q314*(1+N(Debts!$D$6)/12),2)</f>
        <v>0</v>
      </c>
      <c r="AB315" s="56" t="n">
        <f aca="false">ROUND(R314*(1+N(Debts!$D$7)/12),2)</f>
        <v>0</v>
      </c>
      <c r="AC315" s="56" t="n">
        <f aca="false">ROUND(S314*(1+N(Debts!$D$8)/12),2)</f>
        <v>0</v>
      </c>
      <c r="AD315" s="56" t="n">
        <f aca="false">ROUND(T314*(1+N(Debts!$D$9)/12),2)</f>
        <v>0</v>
      </c>
      <c r="AE315" s="56" t="n">
        <f aca="false">ROUND(U314*(1+N(Debts!$D$10)/12),2)</f>
        <v>0</v>
      </c>
      <c r="AF315" s="56" t="n">
        <f aca="false">ROUND(V314*(1+N(Debts!$D$11)/12),2)</f>
        <v>0</v>
      </c>
      <c r="AG315" s="56" t="n">
        <f aca="false">ROUND(W314*(1+N(Debts!$D$12)/12),2)</f>
        <v>0</v>
      </c>
      <c r="AH315" s="56" t="n">
        <f aca="false">ROUND(X314*(1+N(Debts!$D$13)/12),2)</f>
        <v>0</v>
      </c>
      <c r="AI315" s="56" t="n">
        <f aca="false">ROUND(Y314*(1+N(Debts!$D$14)/12),2)</f>
        <v>0</v>
      </c>
      <c r="AJ315" s="56" t="n">
        <f aca="false">MIN(Z315,MAX(0,N(Debts!$E$5)))</f>
        <v>0</v>
      </c>
      <c r="AK315" s="56" t="n">
        <f aca="false">MIN(AA315,MAX(0,N(Debts!$E$6)))</f>
        <v>0</v>
      </c>
      <c r="AL315" s="56" t="n">
        <f aca="false">MIN(AB315,MAX(0,N(Debts!$E$7)))</f>
        <v>0</v>
      </c>
      <c r="AM315" s="56" t="n">
        <f aca="false">MIN(AC315,MAX(0,N(Debts!$E$8)))</f>
        <v>0</v>
      </c>
      <c r="AN315" s="56" t="n">
        <f aca="false">MIN(AD315,MAX(0,N(Debts!$E$9)))</f>
        <v>0</v>
      </c>
      <c r="AO315" s="56" t="n">
        <f aca="false">MIN(AE315,MAX(0,N(Debts!$E$10)))</f>
        <v>0</v>
      </c>
      <c r="AP315" s="56" t="n">
        <f aca="false">MIN(AF315,MAX(0,N(Debts!$E$11)))</f>
        <v>0</v>
      </c>
      <c r="AQ315" s="56" t="n">
        <f aca="false">MIN(AG315,MAX(0,N(Debts!$E$12)))</f>
        <v>0</v>
      </c>
      <c r="AR315" s="56" t="n">
        <f aca="false">MIN(AH315,MAX(0,N(Debts!$E$13)))</f>
        <v>0</v>
      </c>
      <c r="AS315" s="56" t="n">
        <f aca="false">MIN(AI315,MAX(0,N(Debts!$E$14)))</f>
        <v>0</v>
      </c>
    </row>
    <row r="316" customFormat="false" ht="15" hidden="false" customHeight="false" outlineLevel="0" collapsed="false">
      <c r="A316" s="53" t="n">
        <v>312</v>
      </c>
      <c r="B316" s="54" t="n">
        <f aca="false">EDATE('Start Here'!$B$8,311)</f>
        <v>55793</v>
      </c>
      <c r="C316" s="42" t="n">
        <f aca="false">SUM(F316:O316)</f>
        <v>0</v>
      </c>
      <c r="D316" s="42" t="n">
        <f aca="false">ROUND(SUM($Z316:$AI316)-SUM(P315:Y315),2)</f>
        <v>0</v>
      </c>
      <c r="E316" s="55" t="n">
        <f aca="false">SUM(P316:Y316)</f>
        <v>0</v>
      </c>
      <c r="F316" s="42" t="n">
        <f aca="false">AJ316+MIN(Z316-AJ316,MAX(0,'Start Here'!$B$10-SUM($AJ316:$AS316)-SUMPRODUCT(($Z$3:$AI$3&lt;Z$3)*($Z316:$AI316-$AJ316:$AS316))))</f>
        <v>0</v>
      </c>
      <c r="G316" s="42" t="n">
        <f aca="false">AK316+MIN(AA316-AK316,MAX(0,'Start Here'!$B$10-SUM($AJ316:$AS316)-SUMPRODUCT(($Z$3:$AI$3&lt;AA$3)*($Z316:$AI316-$AJ316:$AS316))))</f>
        <v>0</v>
      </c>
      <c r="H316" s="42" t="n">
        <f aca="false">AL316+MIN(AB316-AL316,MAX(0,'Start Here'!$B$10-SUM($AJ316:$AS316)-SUMPRODUCT(($Z$3:$AI$3&lt;AB$3)*($Z316:$AI316-$AJ316:$AS316))))</f>
        <v>0</v>
      </c>
      <c r="I316" s="42" t="n">
        <f aca="false">AM316+MIN(AC316-AM316,MAX(0,'Start Here'!$B$10-SUM($AJ316:$AS316)-SUMPRODUCT(($Z$3:$AI$3&lt;AC$3)*($Z316:$AI316-$AJ316:$AS316))))</f>
        <v>0</v>
      </c>
      <c r="J316" s="42" t="n">
        <f aca="false">AN316+MIN(AD316-AN316,MAX(0,'Start Here'!$B$10-SUM($AJ316:$AS316)-SUMPRODUCT(($Z$3:$AI$3&lt;AD$3)*($Z316:$AI316-$AJ316:$AS316))))</f>
        <v>0</v>
      </c>
      <c r="K316" s="42" t="n">
        <f aca="false">AO316+MIN(AE316-AO316,MAX(0,'Start Here'!$B$10-SUM($AJ316:$AS316)-SUMPRODUCT(($Z$3:$AI$3&lt;AE$3)*($Z316:$AI316-$AJ316:$AS316))))</f>
        <v>0</v>
      </c>
      <c r="L316" s="42" t="n">
        <f aca="false">AP316+MIN(AF316-AP316,MAX(0,'Start Here'!$B$10-SUM($AJ316:$AS316)-SUMPRODUCT(($Z$3:$AI$3&lt;AF$3)*($Z316:$AI316-$AJ316:$AS316))))</f>
        <v>0</v>
      </c>
      <c r="M316" s="42" t="n">
        <f aca="false">AQ316+MIN(AG316-AQ316,MAX(0,'Start Here'!$B$10-SUM($AJ316:$AS316)-SUMPRODUCT(($Z$3:$AI$3&lt;AG$3)*($Z316:$AI316-$AJ316:$AS316))))</f>
        <v>0</v>
      </c>
      <c r="N316" s="42" t="n">
        <f aca="false">AR316+MIN(AH316-AR316,MAX(0,'Start Here'!$B$10-SUM($AJ316:$AS316)-SUMPRODUCT(($Z$3:$AI$3&lt;AH$3)*($Z316:$AI316-$AJ316:$AS316))))</f>
        <v>0</v>
      </c>
      <c r="O316" s="42" t="n">
        <f aca="false">AS316+MIN(AI316-AS316,MAX(0,'Start Here'!$B$10-SUM($AJ316:$AS316)-SUMPRODUCT(($Z$3:$AI$3&lt;AI$3)*($Z316:$AI316-$AJ316:$AS316))))</f>
        <v>0</v>
      </c>
      <c r="P316" s="42" t="n">
        <f aca="false">ROUND(Z316-F316,2)</f>
        <v>0</v>
      </c>
      <c r="Q316" s="42" t="n">
        <f aca="false">ROUND(AA316-G316,2)</f>
        <v>0</v>
      </c>
      <c r="R316" s="42" t="n">
        <f aca="false">ROUND(AB316-H316,2)</f>
        <v>0</v>
      </c>
      <c r="S316" s="42" t="n">
        <f aca="false">ROUND(AC316-I316,2)</f>
        <v>0</v>
      </c>
      <c r="T316" s="42" t="n">
        <f aca="false">ROUND(AD316-J316,2)</f>
        <v>0</v>
      </c>
      <c r="U316" s="42" t="n">
        <f aca="false">ROUND(AE316-K316,2)</f>
        <v>0</v>
      </c>
      <c r="V316" s="42" t="n">
        <f aca="false">ROUND(AF316-L316,2)</f>
        <v>0</v>
      </c>
      <c r="W316" s="42" t="n">
        <f aca="false">ROUND(AG316-M316,2)</f>
        <v>0</v>
      </c>
      <c r="X316" s="42" t="n">
        <f aca="false">ROUND(AH316-N316,2)</f>
        <v>0</v>
      </c>
      <c r="Y316" s="42" t="n">
        <f aca="false">ROUND(AI316-O316,2)</f>
        <v>0</v>
      </c>
      <c r="Z316" s="56" t="n">
        <f aca="false">ROUND(P315*(1+N(Debts!$D$5)/12),2)</f>
        <v>0</v>
      </c>
      <c r="AA316" s="56" t="n">
        <f aca="false">ROUND(Q315*(1+N(Debts!$D$6)/12),2)</f>
        <v>0</v>
      </c>
      <c r="AB316" s="56" t="n">
        <f aca="false">ROUND(R315*(1+N(Debts!$D$7)/12),2)</f>
        <v>0</v>
      </c>
      <c r="AC316" s="56" t="n">
        <f aca="false">ROUND(S315*(1+N(Debts!$D$8)/12),2)</f>
        <v>0</v>
      </c>
      <c r="AD316" s="56" t="n">
        <f aca="false">ROUND(T315*(1+N(Debts!$D$9)/12),2)</f>
        <v>0</v>
      </c>
      <c r="AE316" s="56" t="n">
        <f aca="false">ROUND(U315*(1+N(Debts!$D$10)/12),2)</f>
        <v>0</v>
      </c>
      <c r="AF316" s="56" t="n">
        <f aca="false">ROUND(V315*(1+N(Debts!$D$11)/12),2)</f>
        <v>0</v>
      </c>
      <c r="AG316" s="56" t="n">
        <f aca="false">ROUND(W315*(1+N(Debts!$D$12)/12),2)</f>
        <v>0</v>
      </c>
      <c r="AH316" s="56" t="n">
        <f aca="false">ROUND(X315*(1+N(Debts!$D$13)/12),2)</f>
        <v>0</v>
      </c>
      <c r="AI316" s="56" t="n">
        <f aca="false">ROUND(Y315*(1+N(Debts!$D$14)/12),2)</f>
        <v>0</v>
      </c>
      <c r="AJ316" s="56" t="n">
        <f aca="false">MIN(Z316,MAX(0,N(Debts!$E$5)))</f>
        <v>0</v>
      </c>
      <c r="AK316" s="56" t="n">
        <f aca="false">MIN(AA316,MAX(0,N(Debts!$E$6)))</f>
        <v>0</v>
      </c>
      <c r="AL316" s="56" t="n">
        <f aca="false">MIN(AB316,MAX(0,N(Debts!$E$7)))</f>
        <v>0</v>
      </c>
      <c r="AM316" s="56" t="n">
        <f aca="false">MIN(AC316,MAX(0,N(Debts!$E$8)))</f>
        <v>0</v>
      </c>
      <c r="AN316" s="56" t="n">
        <f aca="false">MIN(AD316,MAX(0,N(Debts!$E$9)))</f>
        <v>0</v>
      </c>
      <c r="AO316" s="56" t="n">
        <f aca="false">MIN(AE316,MAX(0,N(Debts!$E$10)))</f>
        <v>0</v>
      </c>
      <c r="AP316" s="56" t="n">
        <f aca="false">MIN(AF316,MAX(0,N(Debts!$E$11)))</f>
        <v>0</v>
      </c>
      <c r="AQ316" s="56" t="n">
        <f aca="false">MIN(AG316,MAX(0,N(Debts!$E$12)))</f>
        <v>0</v>
      </c>
      <c r="AR316" s="56" t="n">
        <f aca="false">MIN(AH316,MAX(0,N(Debts!$E$13)))</f>
        <v>0</v>
      </c>
      <c r="AS316" s="56" t="n">
        <f aca="false">MIN(AI316,MAX(0,N(Debts!$E$14)))</f>
        <v>0</v>
      </c>
    </row>
    <row r="317" customFormat="false" ht="15" hidden="false" customHeight="false" outlineLevel="0" collapsed="false">
      <c r="A317" s="53" t="n">
        <v>313</v>
      </c>
      <c r="B317" s="54" t="n">
        <f aca="false">EDATE('Start Here'!$B$8,312)</f>
        <v>55824</v>
      </c>
      <c r="C317" s="42" t="n">
        <f aca="false">SUM(F317:O317)</f>
        <v>0</v>
      </c>
      <c r="D317" s="42" t="n">
        <f aca="false">ROUND(SUM($Z317:$AI317)-SUM(P316:Y316),2)</f>
        <v>0</v>
      </c>
      <c r="E317" s="55" t="n">
        <f aca="false">SUM(P317:Y317)</f>
        <v>0</v>
      </c>
      <c r="F317" s="42" t="n">
        <f aca="false">AJ317+MIN(Z317-AJ317,MAX(0,'Start Here'!$B$10-SUM($AJ317:$AS317)-SUMPRODUCT(($Z$3:$AI$3&lt;Z$3)*($Z317:$AI317-$AJ317:$AS317))))</f>
        <v>0</v>
      </c>
      <c r="G317" s="42" t="n">
        <f aca="false">AK317+MIN(AA317-AK317,MAX(0,'Start Here'!$B$10-SUM($AJ317:$AS317)-SUMPRODUCT(($Z$3:$AI$3&lt;AA$3)*($Z317:$AI317-$AJ317:$AS317))))</f>
        <v>0</v>
      </c>
      <c r="H317" s="42" t="n">
        <f aca="false">AL317+MIN(AB317-AL317,MAX(0,'Start Here'!$B$10-SUM($AJ317:$AS317)-SUMPRODUCT(($Z$3:$AI$3&lt;AB$3)*($Z317:$AI317-$AJ317:$AS317))))</f>
        <v>0</v>
      </c>
      <c r="I317" s="42" t="n">
        <f aca="false">AM317+MIN(AC317-AM317,MAX(0,'Start Here'!$B$10-SUM($AJ317:$AS317)-SUMPRODUCT(($Z$3:$AI$3&lt;AC$3)*($Z317:$AI317-$AJ317:$AS317))))</f>
        <v>0</v>
      </c>
      <c r="J317" s="42" t="n">
        <f aca="false">AN317+MIN(AD317-AN317,MAX(0,'Start Here'!$B$10-SUM($AJ317:$AS317)-SUMPRODUCT(($Z$3:$AI$3&lt;AD$3)*($Z317:$AI317-$AJ317:$AS317))))</f>
        <v>0</v>
      </c>
      <c r="K317" s="42" t="n">
        <f aca="false">AO317+MIN(AE317-AO317,MAX(0,'Start Here'!$B$10-SUM($AJ317:$AS317)-SUMPRODUCT(($Z$3:$AI$3&lt;AE$3)*($Z317:$AI317-$AJ317:$AS317))))</f>
        <v>0</v>
      </c>
      <c r="L317" s="42" t="n">
        <f aca="false">AP317+MIN(AF317-AP317,MAX(0,'Start Here'!$B$10-SUM($AJ317:$AS317)-SUMPRODUCT(($Z$3:$AI$3&lt;AF$3)*($Z317:$AI317-$AJ317:$AS317))))</f>
        <v>0</v>
      </c>
      <c r="M317" s="42" t="n">
        <f aca="false">AQ317+MIN(AG317-AQ317,MAX(0,'Start Here'!$B$10-SUM($AJ317:$AS317)-SUMPRODUCT(($Z$3:$AI$3&lt;AG$3)*($Z317:$AI317-$AJ317:$AS317))))</f>
        <v>0</v>
      </c>
      <c r="N317" s="42" t="n">
        <f aca="false">AR317+MIN(AH317-AR317,MAX(0,'Start Here'!$B$10-SUM($AJ317:$AS317)-SUMPRODUCT(($Z$3:$AI$3&lt;AH$3)*($Z317:$AI317-$AJ317:$AS317))))</f>
        <v>0</v>
      </c>
      <c r="O317" s="42" t="n">
        <f aca="false">AS317+MIN(AI317-AS317,MAX(0,'Start Here'!$B$10-SUM($AJ317:$AS317)-SUMPRODUCT(($Z$3:$AI$3&lt;AI$3)*($Z317:$AI317-$AJ317:$AS317))))</f>
        <v>0</v>
      </c>
      <c r="P317" s="42" t="n">
        <f aca="false">ROUND(Z317-F317,2)</f>
        <v>0</v>
      </c>
      <c r="Q317" s="42" t="n">
        <f aca="false">ROUND(AA317-G317,2)</f>
        <v>0</v>
      </c>
      <c r="R317" s="42" t="n">
        <f aca="false">ROUND(AB317-H317,2)</f>
        <v>0</v>
      </c>
      <c r="S317" s="42" t="n">
        <f aca="false">ROUND(AC317-I317,2)</f>
        <v>0</v>
      </c>
      <c r="T317" s="42" t="n">
        <f aca="false">ROUND(AD317-J317,2)</f>
        <v>0</v>
      </c>
      <c r="U317" s="42" t="n">
        <f aca="false">ROUND(AE317-K317,2)</f>
        <v>0</v>
      </c>
      <c r="V317" s="42" t="n">
        <f aca="false">ROUND(AF317-L317,2)</f>
        <v>0</v>
      </c>
      <c r="W317" s="42" t="n">
        <f aca="false">ROUND(AG317-M317,2)</f>
        <v>0</v>
      </c>
      <c r="X317" s="42" t="n">
        <f aca="false">ROUND(AH317-N317,2)</f>
        <v>0</v>
      </c>
      <c r="Y317" s="42" t="n">
        <f aca="false">ROUND(AI317-O317,2)</f>
        <v>0</v>
      </c>
      <c r="Z317" s="56" t="n">
        <f aca="false">ROUND(P316*(1+N(Debts!$D$5)/12),2)</f>
        <v>0</v>
      </c>
      <c r="AA317" s="56" t="n">
        <f aca="false">ROUND(Q316*(1+N(Debts!$D$6)/12),2)</f>
        <v>0</v>
      </c>
      <c r="AB317" s="56" t="n">
        <f aca="false">ROUND(R316*(1+N(Debts!$D$7)/12),2)</f>
        <v>0</v>
      </c>
      <c r="AC317" s="56" t="n">
        <f aca="false">ROUND(S316*(1+N(Debts!$D$8)/12),2)</f>
        <v>0</v>
      </c>
      <c r="AD317" s="56" t="n">
        <f aca="false">ROUND(T316*(1+N(Debts!$D$9)/12),2)</f>
        <v>0</v>
      </c>
      <c r="AE317" s="56" t="n">
        <f aca="false">ROUND(U316*(1+N(Debts!$D$10)/12),2)</f>
        <v>0</v>
      </c>
      <c r="AF317" s="56" t="n">
        <f aca="false">ROUND(V316*(1+N(Debts!$D$11)/12),2)</f>
        <v>0</v>
      </c>
      <c r="AG317" s="56" t="n">
        <f aca="false">ROUND(W316*(1+N(Debts!$D$12)/12),2)</f>
        <v>0</v>
      </c>
      <c r="AH317" s="56" t="n">
        <f aca="false">ROUND(X316*(1+N(Debts!$D$13)/12),2)</f>
        <v>0</v>
      </c>
      <c r="AI317" s="56" t="n">
        <f aca="false">ROUND(Y316*(1+N(Debts!$D$14)/12),2)</f>
        <v>0</v>
      </c>
      <c r="AJ317" s="56" t="n">
        <f aca="false">MIN(Z317,MAX(0,N(Debts!$E$5)))</f>
        <v>0</v>
      </c>
      <c r="AK317" s="56" t="n">
        <f aca="false">MIN(AA317,MAX(0,N(Debts!$E$6)))</f>
        <v>0</v>
      </c>
      <c r="AL317" s="56" t="n">
        <f aca="false">MIN(AB317,MAX(0,N(Debts!$E$7)))</f>
        <v>0</v>
      </c>
      <c r="AM317" s="56" t="n">
        <f aca="false">MIN(AC317,MAX(0,N(Debts!$E$8)))</f>
        <v>0</v>
      </c>
      <c r="AN317" s="56" t="n">
        <f aca="false">MIN(AD317,MAX(0,N(Debts!$E$9)))</f>
        <v>0</v>
      </c>
      <c r="AO317" s="56" t="n">
        <f aca="false">MIN(AE317,MAX(0,N(Debts!$E$10)))</f>
        <v>0</v>
      </c>
      <c r="AP317" s="56" t="n">
        <f aca="false">MIN(AF317,MAX(0,N(Debts!$E$11)))</f>
        <v>0</v>
      </c>
      <c r="AQ317" s="56" t="n">
        <f aca="false">MIN(AG317,MAX(0,N(Debts!$E$12)))</f>
        <v>0</v>
      </c>
      <c r="AR317" s="56" t="n">
        <f aca="false">MIN(AH317,MAX(0,N(Debts!$E$13)))</f>
        <v>0</v>
      </c>
      <c r="AS317" s="56" t="n">
        <f aca="false">MIN(AI317,MAX(0,N(Debts!$E$14)))</f>
        <v>0</v>
      </c>
    </row>
    <row r="318" customFormat="false" ht="15" hidden="false" customHeight="false" outlineLevel="0" collapsed="false">
      <c r="A318" s="53" t="n">
        <v>314</v>
      </c>
      <c r="B318" s="54" t="n">
        <f aca="false">EDATE('Start Here'!$B$8,313)</f>
        <v>55854</v>
      </c>
      <c r="C318" s="42" t="n">
        <f aca="false">SUM(F318:O318)</f>
        <v>0</v>
      </c>
      <c r="D318" s="42" t="n">
        <f aca="false">ROUND(SUM($Z318:$AI318)-SUM(P317:Y317),2)</f>
        <v>0</v>
      </c>
      <c r="E318" s="55" t="n">
        <f aca="false">SUM(P318:Y318)</f>
        <v>0</v>
      </c>
      <c r="F318" s="42" t="n">
        <f aca="false">AJ318+MIN(Z318-AJ318,MAX(0,'Start Here'!$B$10-SUM($AJ318:$AS318)-SUMPRODUCT(($Z$3:$AI$3&lt;Z$3)*($Z318:$AI318-$AJ318:$AS318))))</f>
        <v>0</v>
      </c>
      <c r="G318" s="42" t="n">
        <f aca="false">AK318+MIN(AA318-AK318,MAX(0,'Start Here'!$B$10-SUM($AJ318:$AS318)-SUMPRODUCT(($Z$3:$AI$3&lt;AA$3)*($Z318:$AI318-$AJ318:$AS318))))</f>
        <v>0</v>
      </c>
      <c r="H318" s="42" t="n">
        <f aca="false">AL318+MIN(AB318-AL318,MAX(0,'Start Here'!$B$10-SUM($AJ318:$AS318)-SUMPRODUCT(($Z$3:$AI$3&lt;AB$3)*($Z318:$AI318-$AJ318:$AS318))))</f>
        <v>0</v>
      </c>
      <c r="I318" s="42" t="n">
        <f aca="false">AM318+MIN(AC318-AM318,MAX(0,'Start Here'!$B$10-SUM($AJ318:$AS318)-SUMPRODUCT(($Z$3:$AI$3&lt;AC$3)*($Z318:$AI318-$AJ318:$AS318))))</f>
        <v>0</v>
      </c>
      <c r="J318" s="42" t="n">
        <f aca="false">AN318+MIN(AD318-AN318,MAX(0,'Start Here'!$B$10-SUM($AJ318:$AS318)-SUMPRODUCT(($Z$3:$AI$3&lt;AD$3)*($Z318:$AI318-$AJ318:$AS318))))</f>
        <v>0</v>
      </c>
      <c r="K318" s="42" t="n">
        <f aca="false">AO318+MIN(AE318-AO318,MAX(0,'Start Here'!$B$10-SUM($AJ318:$AS318)-SUMPRODUCT(($Z$3:$AI$3&lt;AE$3)*($Z318:$AI318-$AJ318:$AS318))))</f>
        <v>0</v>
      </c>
      <c r="L318" s="42" t="n">
        <f aca="false">AP318+MIN(AF318-AP318,MAX(0,'Start Here'!$B$10-SUM($AJ318:$AS318)-SUMPRODUCT(($Z$3:$AI$3&lt;AF$3)*($Z318:$AI318-$AJ318:$AS318))))</f>
        <v>0</v>
      </c>
      <c r="M318" s="42" t="n">
        <f aca="false">AQ318+MIN(AG318-AQ318,MAX(0,'Start Here'!$B$10-SUM($AJ318:$AS318)-SUMPRODUCT(($Z$3:$AI$3&lt;AG$3)*($Z318:$AI318-$AJ318:$AS318))))</f>
        <v>0</v>
      </c>
      <c r="N318" s="42" t="n">
        <f aca="false">AR318+MIN(AH318-AR318,MAX(0,'Start Here'!$B$10-SUM($AJ318:$AS318)-SUMPRODUCT(($Z$3:$AI$3&lt;AH$3)*($Z318:$AI318-$AJ318:$AS318))))</f>
        <v>0</v>
      </c>
      <c r="O318" s="42" t="n">
        <f aca="false">AS318+MIN(AI318-AS318,MAX(0,'Start Here'!$B$10-SUM($AJ318:$AS318)-SUMPRODUCT(($Z$3:$AI$3&lt;AI$3)*($Z318:$AI318-$AJ318:$AS318))))</f>
        <v>0</v>
      </c>
      <c r="P318" s="42" t="n">
        <f aca="false">ROUND(Z318-F318,2)</f>
        <v>0</v>
      </c>
      <c r="Q318" s="42" t="n">
        <f aca="false">ROUND(AA318-G318,2)</f>
        <v>0</v>
      </c>
      <c r="R318" s="42" t="n">
        <f aca="false">ROUND(AB318-H318,2)</f>
        <v>0</v>
      </c>
      <c r="S318" s="42" t="n">
        <f aca="false">ROUND(AC318-I318,2)</f>
        <v>0</v>
      </c>
      <c r="T318" s="42" t="n">
        <f aca="false">ROUND(AD318-J318,2)</f>
        <v>0</v>
      </c>
      <c r="U318" s="42" t="n">
        <f aca="false">ROUND(AE318-K318,2)</f>
        <v>0</v>
      </c>
      <c r="V318" s="42" t="n">
        <f aca="false">ROUND(AF318-L318,2)</f>
        <v>0</v>
      </c>
      <c r="W318" s="42" t="n">
        <f aca="false">ROUND(AG318-M318,2)</f>
        <v>0</v>
      </c>
      <c r="X318" s="42" t="n">
        <f aca="false">ROUND(AH318-N318,2)</f>
        <v>0</v>
      </c>
      <c r="Y318" s="42" t="n">
        <f aca="false">ROUND(AI318-O318,2)</f>
        <v>0</v>
      </c>
      <c r="Z318" s="56" t="n">
        <f aca="false">ROUND(P317*(1+N(Debts!$D$5)/12),2)</f>
        <v>0</v>
      </c>
      <c r="AA318" s="56" t="n">
        <f aca="false">ROUND(Q317*(1+N(Debts!$D$6)/12),2)</f>
        <v>0</v>
      </c>
      <c r="AB318" s="56" t="n">
        <f aca="false">ROUND(R317*(1+N(Debts!$D$7)/12),2)</f>
        <v>0</v>
      </c>
      <c r="AC318" s="56" t="n">
        <f aca="false">ROUND(S317*(1+N(Debts!$D$8)/12),2)</f>
        <v>0</v>
      </c>
      <c r="AD318" s="56" t="n">
        <f aca="false">ROUND(T317*(1+N(Debts!$D$9)/12),2)</f>
        <v>0</v>
      </c>
      <c r="AE318" s="56" t="n">
        <f aca="false">ROUND(U317*(1+N(Debts!$D$10)/12),2)</f>
        <v>0</v>
      </c>
      <c r="AF318" s="56" t="n">
        <f aca="false">ROUND(V317*(1+N(Debts!$D$11)/12),2)</f>
        <v>0</v>
      </c>
      <c r="AG318" s="56" t="n">
        <f aca="false">ROUND(W317*(1+N(Debts!$D$12)/12),2)</f>
        <v>0</v>
      </c>
      <c r="AH318" s="56" t="n">
        <f aca="false">ROUND(X317*(1+N(Debts!$D$13)/12),2)</f>
        <v>0</v>
      </c>
      <c r="AI318" s="56" t="n">
        <f aca="false">ROUND(Y317*(1+N(Debts!$D$14)/12),2)</f>
        <v>0</v>
      </c>
      <c r="AJ318" s="56" t="n">
        <f aca="false">MIN(Z318,MAX(0,N(Debts!$E$5)))</f>
        <v>0</v>
      </c>
      <c r="AK318" s="56" t="n">
        <f aca="false">MIN(AA318,MAX(0,N(Debts!$E$6)))</f>
        <v>0</v>
      </c>
      <c r="AL318" s="56" t="n">
        <f aca="false">MIN(AB318,MAX(0,N(Debts!$E$7)))</f>
        <v>0</v>
      </c>
      <c r="AM318" s="56" t="n">
        <f aca="false">MIN(AC318,MAX(0,N(Debts!$E$8)))</f>
        <v>0</v>
      </c>
      <c r="AN318" s="56" t="n">
        <f aca="false">MIN(AD318,MAX(0,N(Debts!$E$9)))</f>
        <v>0</v>
      </c>
      <c r="AO318" s="56" t="n">
        <f aca="false">MIN(AE318,MAX(0,N(Debts!$E$10)))</f>
        <v>0</v>
      </c>
      <c r="AP318" s="56" t="n">
        <f aca="false">MIN(AF318,MAX(0,N(Debts!$E$11)))</f>
        <v>0</v>
      </c>
      <c r="AQ318" s="56" t="n">
        <f aca="false">MIN(AG318,MAX(0,N(Debts!$E$12)))</f>
        <v>0</v>
      </c>
      <c r="AR318" s="56" t="n">
        <f aca="false">MIN(AH318,MAX(0,N(Debts!$E$13)))</f>
        <v>0</v>
      </c>
      <c r="AS318" s="56" t="n">
        <f aca="false">MIN(AI318,MAX(0,N(Debts!$E$14)))</f>
        <v>0</v>
      </c>
    </row>
    <row r="319" customFormat="false" ht="15" hidden="false" customHeight="false" outlineLevel="0" collapsed="false">
      <c r="A319" s="53" t="n">
        <v>315</v>
      </c>
      <c r="B319" s="54" t="n">
        <f aca="false">EDATE('Start Here'!$B$8,314)</f>
        <v>55885</v>
      </c>
      <c r="C319" s="42" t="n">
        <f aca="false">SUM(F319:O319)</f>
        <v>0</v>
      </c>
      <c r="D319" s="42" t="n">
        <f aca="false">ROUND(SUM($Z319:$AI319)-SUM(P318:Y318),2)</f>
        <v>0</v>
      </c>
      <c r="E319" s="55" t="n">
        <f aca="false">SUM(P319:Y319)</f>
        <v>0</v>
      </c>
      <c r="F319" s="42" t="n">
        <f aca="false">AJ319+MIN(Z319-AJ319,MAX(0,'Start Here'!$B$10-SUM($AJ319:$AS319)-SUMPRODUCT(($Z$3:$AI$3&lt;Z$3)*($Z319:$AI319-$AJ319:$AS319))))</f>
        <v>0</v>
      </c>
      <c r="G319" s="42" t="n">
        <f aca="false">AK319+MIN(AA319-AK319,MAX(0,'Start Here'!$B$10-SUM($AJ319:$AS319)-SUMPRODUCT(($Z$3:$AI$3&lt;AA$3)*($Z319:$AI319-$AJ319:$AS319))))</f>
        <v>0</v>
      </c>
      <c r="H319" s="42" t="n">
        <f aca="false">AL319+MIN(AB319-AL319,MAX(0,'Start Here'!$B$10-SUM($AJ319:$AS319)-SUMPRODUCT(($Z$3:$AI$3&lt;AB$3)*($Z319:$AI319-$AJ319:$AS319))))</f>
        <v>0</v>
      </c>
      <c r="I319" s="42" t="n">
        <f aca="false">AM319+MIN(AC319-AM319,MAX(0,'Start Here'!$B$10-SUM($AJ319:$AS319)-SUMPRODUCT(($Z$3:$AI$3&lt;AC$3)*($Z319:$AI319-$AJ319:$AS319))))</f>
        <v>0</v>
      </c>
      <c r="J319" s="42" t="n">
        <f aca="false">AN319+MIN(AD319-AN319,MAX(0,'Start Here'!$B$10-SUM($AJ319:$AS319)-SUMPRODUCT(($Z$3:$AI$3&lt;AD$3)*($Z319:$AI319-$AJ319:$AS319))))</f>
        <v>0</v>
      </c>
      <c r="K319" s="42" t="n">
        <f aca="false">AO319+MIN(AE319-AO319,MAX(0,'Start Here'!$B$10-SUM($AJ319:$AS319)-SUMPRODUCT(($Z$3:$AI$3&lt;AE$3)*($Z319:$AI319-$AJ319:$AS319))))</f>
        <v>0</v>
      </c>
      <c r="L319" s="42" t="n">
        <f aca="false">AP319+MIN(AF319-AP319,MAX(0,'Start Here'!$B$10-SUM($AJ319:$AS319)-SUMPRODUCT(($Z$3:$AI$3&lt;AF$3)*($Z319:$AI319-$AJ319:$AS319))))</f>
        <v>0</v>
      </c>
      <c r="M319" s="42" t="n">
        <f aca="false">AQ319+MIN(AG319-AQ319,MAX(0,'Start Here'!$B$10-SUM($AJ319:$AS319)-SUMPRODUCT(($Z$3:$AI$3&lt;AG$3)*($Z319:$AI319-$AJ319:$AS319))))</f>
        <v>0</v>
      </c>
      <c r="N319" s="42" t="n">
        <f aca="false">AR319+MIN(AH319-AR319,MAX(0,'Start Here'!$B$10-SUM($AJ319:$AS319)-SUMPRODUCT(($Z$3:$AI$3&lt;AH$3)*($Z319:$AI319-$AJ319:$AS319))))</f>
        <v>0</v>
      </c>
      <c r="O319" s="42" t="n">
        <f aca="false">AS319+MIN(AI319-AS319,MAX(0,'Start Here'!$B$10-SUM($AJ319:$AS319)-SUMPRODUCT(($Z$3:$AI$3&lt;AI$3)*($Z319:$AI319-$AJ319:$AS319))))</f>
        <v>0</v>
      </c>
      <c r="P319" s="42" t="n">
        <f aca="false">ROUND(Z319-F319,2)</f>
        <v>0</v>
      </c>
      <c r="Q319" s="42" t="n">
        <f aca="false">ROUND(AA319-G319,2)</f>
        <v>0</v>
      </c>
      <c r="R319" s="42" t="n">
        <f aca="false">ROUND(AB319-H319,2)</f>
        <v>0</v>
      </c>
      <c r="S319" s="42" t="n">
        <f aca="false">ROUND(AC319-I319,2)</f>
        <v>0</v>
      </c>
      <c r="T319" s="42" t="n">
        <f aca="false">ROUND(AD319-J319,2)</f>
        <v>0</v>
      </c>
      <c r="U319" s="42" t="n">
        <f aca="false">ROUND(AE319-K319,2)</f>
        <v>0</v>
      </c>
      <c r="V319" s="42" t="n">
        <f aca="false">ROUND(AF319-L319,2)</f>
        <v>0</v>
      </c>
      <c r="W319" s="42" t="n">
        <f aca="false">ROUND(AG319-M319,2)</f>
        <v>0</v>
      </c>
      <c r="X319" s="42" t="n">
        <f aca="false">ROUND(AH319-N319,2)</f>
        <v>0</v>
      </c>
      <c r="Y319" s="42" t="n">
        <f aca="false">ROUND(AI319-O319,2)</f>
        <v>0</v>
      </c>
      <c r="Z319" s="56" t="n">
        <f aca="false">ROUND(P318*(1+N(Debts!$D$5)/12),2)</f>
        <v>0</v>
      </c>
      <c r="AA319" s="56" t="n">
        <f aca="false">ROUND(Q318*(1+N(Debts!$D$6)/12),2)</f>
        <v>0</v>
      </c>
      <c r="AB319" s="56" t="n">
        <f aca="false">ROUND(R318*(1+N(Debts!$D$7)/12),2)</f>
        <v>0</v>
      </c>
      <c r="AC319" s="56" t="n">
        <f aca="false">ROUND(S318*(1+N(Debts!$D$8)/12),2)</f>
        <v>0</v>
      </c>
      <c r="AD319" s="56" t="n">
        <f aca="false">ROUND(T318*(1+N(Debts!$D$9)/12),2)</f>
        <v>0</v>
      </c>
      <c r="AE319" s="56" t="n">
        <f aca="false">ROUND(U318*(1+N(Debts!$D$10)/12),2)</f>
        <v>0</v>
      </c>
      <c r="AF319" s="56" t="n">
        <f aca="false">ROUND(V318*(1+N(Debts!$D$11)/12),2)</f>
        <v>0</v>
      </c>
      <c r="AG319" s="56" t="n">
        <f aca="false">ROUND(W318*(1+N(Debts!$D$12)/12),2)</f>
        <v>0</v>
      </c>
      <c r="AH319" s="56" t="n">
        <f aca="false">ROUND(X318*(1+N(Debts!$D$13)/12),2)</f>
        <v>0</v>
      </c>
      <c r="AI319" s="56" t="n">
        <f aca="false">ROUND(Y318*(1+N(Debts!$D$14)/12),2)</f>
        <v>0</v>
      </c>
      <c r="AJ319" s="56" t="n">
        <f aca="false">MIN(Z319,MAX(0,N(Debts!$E$5)))</f>
        <v>0</v>
      </c>
      <c r="AK319" s="56" t="n">
        <f aca="false">MIN(AA319,MAX(0,N(Debts!$E$6)))</f>
        <v>0</v>
      </c>
      <c r="AL319" s="56" t="n">
        <f aca="false">MIN(AB319,MAX(0,N(Debts!$E$7)))</f>
        <v>0</v>
      </c>
      <c r="AM319" s="56" t="n">
        <f aca="false">MIN(AC319,MAX(0,N(Debts!$E$8)))</f>
        <v>0</v>
      </c>
      <c r="AN319" s="56" t="n">
        <f aca="false">MIN(AD319,MAX(0,N(Debts!$E$9)))</f>
        <v>0</v>
      </c>
      <c r="AO319" s="56" t="n">
        <f aca="false">MIN(AE319,MAX(0,N(Debts!$E$10)))</f>
        <v>0</v>
      </c>
      <c r="AP319" s="56" t="n">
        <f aca="false">MIN(AF319,MAX(0,N(Debts!$E$11)))</f>
        <v>0</v>
      </c>
      <c r="AQ319" s="56" t="n">
        <f aca="false">MIN(AG319,MAX(0,N(Debts!$E$12)))</f>
        <v>0</v>
      </c>
      <c r="AR319" s="56" t="n">
        <f aca="false">MIN(AH319,MAX(0,N(Debts!$E$13)))</f>
        <v>0</v>
      </c>
      <c r="AS319" s="56" t="n">
        <f aca="false">MIN(AI319,MAX(0,N(Debts!$E$14)))</f>
        <v>0</v>
      </c>
    </row>
    <row r="320" customFormat="false" ht="15" hidden="false" customHeight="false" outlineLevel="0" collapsed="false">
      <c r="A320" s="53" t="n">
        <v>316</v>
      </c>
      <c r="B320" s="54" t="n">
        <f aca="false">EDATE('Start Here'!$B$8,315)</f>
        <v>55916</v>
      </c>
      <c r="C320" s="42" t="n">
        <f aca="false">SUM(F320:O320)</f>
        <v>0</v>
      </c>
      <c r="D320" s="42" t="n">
        <f aca="false">ROUND(SUM($Z320:$AI320)-SUM(P319:Y319),2)</f>
        <v>0</v>
      </c>
      <c r="E320" s="55" t="n">
        <f aca="false">SUM(P320:Y320)</f>
        <v>0</v>
      </c>
      <c r="F320" s="42" t="n">
        <f aca="false">AJ320+MIN(Z320-AJ320,MAX(0,'Start Here'!$B$10-SUM($AJ320:$AS320)-SUMPRODUCT(($Z$3:$AI$3&lt;Z$3)*($Z320:$AI320-$AJ320:$AS320))))</f>
        <v>0</v>
      </c>
      <c r="G320" s="42" t="n">
        <f aca="false">AK320+MIN(AA320-AK320,MAX(0,'Start Here'!$B$10-SUM($AJ320:$AS320)-SUMPRODUCT(($Z$3:$AI$3&lt;AA$3)*($Z320:$AI320-$AJ320:$AS320))))</f>
        <v>0</v>
      </c>
      <c r="H320" s="42" t="n">
        <f aca="false">AL320+MIN(AB320-AL320,MAX(0,'Start Here'!$B$10-SUM($AJ320:$AS320)-SUMPRODUCT(($Z$3:$AI$3&lt;AB$3)*($Z320:$AI320-$AJ320:$AS320))))</f>
        <v>0</v>
      </c>
      <c r="I320" s="42" t="n">
        <f aca="false">AM320+MIN(AC320-AM320,MAX(0,'Start Here'!$B$10-SUM($AJ320:$AS320)-SUMPRODUCT(($Z$3:$AI$3&lt;AC$3)*($Z320:$AI320-$AJ320:$AS320))))</f>
        <v>0</v>
      </c>
      <c r="J320" s="42" t="n">
        <f aca="false">AN320+MIN(AD320-AN320,MAX(0,'Start Here'!$B$10-SUM($AJ320:$AS320)-SUMPRODUCT(($Z$3:$AI$3&lt;AD$3)*($Z320:$AI320-$AJ320:$AS320))))</f>
        <v>0</v>
      </c>
      <c r="K320" s="42" t="n">
        <f aca="false">AO320+MIN(AE320-AO320,MAX(0,'Start Here'!$B$10-SUM($AJ320:$AS320)-SUMPRODUCT(($Z$3:$AI$3&lt;AE$3)*($Z320:$AI320-$AJ320:$AS320))))</f>
        <v>0</v>
      </c>
      <c r="L320" s="42" t="n">
        <f aca="false">AP320+MIN(AF320-AP320,MAX(0,'Start Here'!$B$10-SUM($AJ320:$AS320)-SUMPRODUCT(($Z$3:$AI$3&lt;AF$3)*($Z320:$AI320-$AJ320:$AS320))))</f>
        <v>0</v>
      </c>
      <c r="M320" s="42" t="n">
        <f aca="false">AQ320+MIN(AG320-AQ320,MAX(0,'Start Here'!$B$10-SUM($AJ320:$AS320)-SUMPRODUCT(($Z$3:$AI$3&lt;AG$3)*($Z320:$AI320-$AJ320:$AS320))))</f>
        <v>0</v>
      </c>
      <c r="N320" s="42" t="n">
        <f aca="false">AR320+MIN(AH320-AR320,MAX(0,'Start Here'!$B$10-SUM($AJ320:$AS320)-SUMPRODUCT(($Z$3:$AI$3&lt;AH$3)*($Z320:$AI320-$AJ320:$AS320))))</f>
        <v>0</v>
      </c>
      <c r="O320" s="42" t="n">
        <f aca="false">AS320+MIN(AI320-AS320,MAX(0,'Start Here'!$B$10-SUM($AJ320:$AS320)-SUMPRODUCT(($Z$3:$AI$3&lt;AI$3)*($Z320:$AI320-$AJ320:$AS320))))</f>
        <v>0</v>
      </c>
      <c r="P320" s="42" t="n">
        <f aca="false">ROUND(Z320-F320,2)</f>
        <v>0</v>
      </c>
      <c r="Q320" s="42" t="n">
        <f aca="false">ROUND(AA320-G320,2)</f>
        <v>0</v>
      </c>
      <c r="R320" s="42" t="n">
        <f aca="false">ROUND(AB320-H320,2)</f>
        <v>0</v>
      </c>
      <c r="S320" s="42" t="n">
        <f aca="false">ROUND(AC320-I320,2)</f>
        <v>0</v>
      </c>
      <c r="T320" s="42" t="n">
        <f aca="false">ROUND(AD320-J320,2)</f>
        <v>0</v>
      </c>
      <c r="U320" s="42" t="n">
        <f aca="false">ROUND(AE320-K320,2)</f>
        <v>0</v>
      </c>
      <c r="V320" s="42" t="n">
        <f aca="false">ROUND(AF320-L320,2)</f>
        <v>0</v>
      </c>
      <c r="W320" s="42" t="n">
        <f aca="false">ROUND(AG320-M320,2)</f>
        <v>0</v>
      </c>
      <c r="X320" s="42" t="n">
        <f aca="false">ROUND(AH320-N320,2)</f>
        <v>0</v>
      </c>
      <c r="Y320" s="42" t="n">
        <f aca="false">ROUND(AI320-O320,2)</f>
        <v>0</v>
      </c>
      <c r="Z320" s="56" t="n">
        <f aca="false">ROUND(P319*(1+N(Debts!$D$5)/12),2)</f>
        <v>0</v>
      </c>
      <c r="AA320" s="56" t="n">
        <f aca="false">ROUND(Q319*(1+N(Debts!$D$6)/12),2)</f>
        <v>0</v>
      </c>
      <c r="AB320" s="56" t="n">
        <f aca="false">ROUND(R319*(1+N(Debts!$D$7)/12),2)</f>
        <v>0</v>
      </c>
      <c r="AC320" s="56" t="n">
        <f aca="false">ROUND(S319*(1+N(Debts!$D$8)/12),2)</f>
        <v>0</v>
      </c>
      <c r="AD320" s="56" t="n">
        <f aca="false">ROUND(T319*(1+N(Debts!$D$9)/12),2)</f>
        <v>0</v>
      </c>
      <c r="AE320" s="56" t="n">
        <f aca="false">ROUND(U319*(1+N(Debts!$D$10)/12),2)</f>
        <v>0</v>
      </c>
      <c r="AF320" s="56" t="n">
        <f aca="false">ROUND(V319*(1+N(Debts!$D$11)/12),2)</f>
        <v>0</v>
      </c>
      <c r="AG320" s="56" t="n">
        <f aca="false">ROUND(W319*(1+N(Debts!$D$12)/12),2)</f>
        <v>0</v>
      </c>
      <c r="AH320" s="56" t="n">
        <f aca="false">ROUND(X319*(1+N(Debts!$D$13)/12),2)</f>
        <v>0</v>
      </c>
      <c r="AI320" s="56" t="n">
        <f aca="false">ROUND(Y319*(1+N(Debts!$D$14)/12),2)</f>
        <v>0</v>
      </c>
      <c r="AJ320" s="56" t="n">
        <f aca="false">MIN(Z320,MAX(0,N(Debts!$E$5)))</f>
        <v>0</v>
      </c>
      <c r="AK320" s="56" t="n">
        <f aca="false">MIN(AA320,MAX(0,N(Debts!$E$6)))</f>
        <v>0</v>
      </c>
      <c r="AL320" s="56" t="n">
        <f aca="false">MIN(AB320,MAX(0,N(Debts!$E$7)))</f>
        <v>0</v>
      </c>
      <c r="AM320" s="56" t="n">
        <f aca="false">MIN(AC320,MAX(0,N(Debts!$E$8)))</f>
        <v>0</v>
      </c>
      <c r="AN320" s="56" t="n">
        <f aca="false">MIN(AD320,MAX(0,N(Debts!$E$9)))</f>
        <v>0</v>
      </c>
      <c r="AO320" s="56" t="n">
        <f aca="false">MIN(AE320,MAX(0,N(Debts!$E$10)))</f>
        <v>0</v>
      </c>
      <c r="AP320" s="56" t="n">
        <f aca="false">MIN(AF320,MAX(0,N(Debts!$E$11)))</f>
        <v>0</v>
      </c>
      <c r="AQ320" s="56" t="n">
        <f aca="false">MIN(AG320,MAX(0,N(Debts!$E$12)))</f>
        <v>0</v>
      </c>
      <c r="AR320" s="56" t="n">
        <f aca="false">MIN(AH320,MAX(0,N(Debts!$E$13)))</f>
        <v>0</v>
      </c>
      <c r="AS320" s="56" t="n">
        <f aca="false">MIN(AI320,MAX(0,N(Debts!$E$14)))</f>
        <v>0</v>
      </c>
    </row>
    <row r="321" customFormat="false" ht="15" hidden="false" customHeight="false" outlineLevel="0" collapsed="false">
      <c r="A321" s="53" t="n">
        <v>317</v>
      </c>
      <c r="B321" s="54" t="n">
        <f aca="false">EDATE('Start Here'!$B$8,316)</f>
        <v>55944</v>
      </c>
      <c r="C321" s="42" t="n">
        <f aca="false">SUM(F321:O321)</f>
        <v>0</v>
      </c>
      <c r="D321" s="42" t="n">
        <f aca="false">ROUND(SUM($Z321:$AI321)-SUM(P320:Y320),2)</f>
        <v>0</v>
      </c>
      <c r="E321" s="55" t="n">
        <f aca="false">SUM(P321:Y321)</f>
        <v>0</v>
      </c>
      <c r="F321" s="42" t="n">
        <f aca="false">AJ321+MIN(Z321-AJ321,MAX(0,'Start Here'!$B$10-SUM($AJ321:$AS321)-SUMPRODUCT(($Z$3:$AI$3&lt;Z$3)*($Z321:$AI321-$AJ321:$AS321))))</f>
        <v>0</v>
      </c>
      <c r="G321" s="42" t="n">
        <f aca="false">AK321+MIN(AA321-AK321,MAX(0,'Start Here'!$B$10-SUM($AJ321:$AS321)-SUMPRODUCT(($Z$3:$AI$3&lt;AA$3)*($Z321:$AI321-$AJ321:$AS321))))</f>
        <v>0</v>
      </c>
      <c r="H321" s="42" t="n">
        <f aca="false">AL321+MIN(AB321-AL321,MAX(0,'Start Here'!$B$10-SUM($AJ321:$AS321)-SUMPRODUCT(($Z$3:$AI$3&lt;AB$3)*($Z321:$AI321-$AJ321:$AS321))))</f>
        <v>0</v>
      </c>
      <c r="I321" s="42" t="n">
        <f aca="false">AM321+MIN(AC321-AM321,MAX(0,'Start Here'!$B$10-SUM($AJ321:$AS321)-SUMPRODUCT(($Z$3:$AI$3&lt;AC$3)*($Z321:$AI321-$AJ321:$AS321))))</f>
        <v>0</v>
      </c>
      <c r="J321" s="42" t="n">
        <f aca="false">AN321+MIN(AD321-AN321,MAX(0,'Start Here'!$B$10-SUM($AJ321:$AS321)-SUMPRODUCT(($Z$3:$AI$3&lt;AD$3)*($Z321:$AI321-$AJ321:$AS321))))</f>
        <v>0</v>
      </c>
      <c r="K321" s="42" t="n">
        <f aca="false">AO321+MIN(AE321-AO321,MAX(0,'Start Here'!$B$10-SUM($AJ321:$AS321)-SUMPRODUCT(($Z$3:$AI$3&lt;AE$3)*($Z321:$AI321-$AJ321:$AS321))))</f>
        <v>0</v>
      </c>
      <c r="L321" s="42" t="n">
        <f aca="false">AP321+MIN(AF321-AP321,MAX(0,'Start Here'!$B$10-SUM($AJ321:$AS321)-SUMPRODUCT(($Z$3:$AI$3&lt;AF$3)*($Z321:$AI321-$AJ321:$AS321))))</f>
        <v>0</v>
      </c>
      <c r="M321" s="42" t="n">
        <f aca="false">AQ321+MIN(AG321-AQ321,MAX(0,'Start Here'!$B$10-SUM($AJ321:$AS321)-SUMPRODUCT(($Z$3:$AI$3&lt;AG$3)*($Z321:$AI321-$AJ321:$AS321))))</f>
        <v>0</v>
      </c>
      <c r="N321" s="42" t="n">
        <f aca="false">AR321+MIN(AH321-AR321,MAX(0,'Start Here'!$B$10-SUM($AJ321:$AS321)-SUMPRODUCT(($Z$3:$AI$3&lt;AH$3)*($Z321:$AI321-$AJ321:$AS321))))</f>
        <v>0</v>
      </c>
      <c r="O321" s="42" t="n">
        <f aca="false">AS321+MIN(AI321-AS321,MAX(0,'Start Here'!$B$10-SUM($AJ321:$AS321)-SUMPRODUCT(($Z$3:$AI$3&lt;AI$3)*($Z321:$AI321-$AJ321:$AS321))))</f>
        <v>0</v>
      </c>
      <c r="P321" s="42" t="n">
        <f aca="false">ROUND(Z321-F321,2)</f>
        <v>0</v>
      </c>
      <c r="Q321" s="42" t="n">
        <f aca="false">ROUND(AA321-G321,2)</f>
        <v>0</v>
      </c>
      <c r="R321" s="42" t="n">
        <f aca="false">ROUND(AB321-H321,2)</f>
        <v>0</v>
      </c>
      <c r="S321" s="42" t="n">
        <f aca="false">ROUND(AC321-I321,2)</f>
        <v>0</v>
      </c>
      <c r="T321" s="42" t="n">
        <f aca="false">ROUND(AD321-J321,2)</f>
        <v>0</v>
      </c>
      <c r="U321" s="42" t="n">
        <f aca="false">ROUND(AE321-K321,2)</f>
        <v>0</v>
      </c>
      <c r="V321" s="42" t="n">
        <f aca="false">ROUND(AF321-L321,2)</f>
        <v>0</v>
      </c>
      <c r="W321" s="42" t="n">
        <f aca="false">ROUND(AG321-M321,2)</f>
        <v>0</v>
      </c>
      <c r="X321" s="42" t="n">
        <f aca="false">ROUND(AH321-N321,2)</f>
        <v>0</v>
      </c>
      <c r="Y321" s="42" t="n">
        <f aca="false">ROUND(AI321-O321,2)</f>
        <v>0</v>
      </c>
      <c r="Z321" s="56" t="n">
        <f aca="false">ROUND(P320*(1+N(Debts!$D$5)/12),2)</f>
        <v>0</v>
      </c>
      <c r="AA321" s="56" t="n">
        <f aca="false">ROUND(Q320*(1+N(Debts!$D$6)/12),2)</f>
        <v>0</v>
      </c>
      <c r="AB321" s="56" t="n">
        <f aca="false">ROUND(R320*(1+N(Debts!$D$7)/12),2)</f>
        <v>0</v>
      </c>
      <c r="AC321" s="56" t="n">
        <f aca="false">ROUND(S320*(1+N(Debts!$D$8)/12),2)</f>
        <v>0</v>
      </c>
      <c r="AD321" s="56" t="n">
        <f aca="false">ROUND(T320*(1+N(Debts!$D$9)/12),2)</f>
        <v>0</v>
      </c>
      <c r="AE321" s="56" t="n">
        <f aca="false">ROUND(U320*(1+N(Debts!$D$10)/12),2)</f>
        <v>0</v>
      </c>
      <c r="AF321" s="56" t="n">
        <f aca="false">ROUND(V320*(1+N(Debts!$D$11)/12),2)</f>
        <v>0</v>
      </c>
      <c r="AG321" s="56" t="n">
        <f aca="false">ROUND(W320*(1+N(Debts!$D$12)/12),2)</f>
        <v>0</v>
      </c>
      <c r="AH321" s="56" t="n">
        <f aca="false">ROUND(X320*(1+N(Debts!$D$13)/12),2)</f>
        <v>0</v>
      </c>
      <c r="AI321" s="56" t="n">
        <f aca="false">ROUND(Y320*(1+N(Debts!$D$14)/12),2)</f>
        <v>0</v>
      </c>
      <c r="AJ321" s="56" t="n">
        <f aca="false">MIN(Z321,MAX(0,N(Debts!$E$5)))</f>
        <v>0</v>
      </c>
      <c r="AK321" s="56" t="n">
        <f aca="false">MIN(AA321,MAX(0,N(Debts!$E$6)))</f>
        <v>0</v>
      </c>
      <c r="AL321" s="56" t="n">
        <f aca="false">MIN(AB321,MAX(0,N(Debts!$E$7)))</f>
        <v>0</v>
      </c>
      <c r="AM321" s="56" t="n">
        <f aca="false">MIN(AC321,MAX(0,N(Debts!$E$8)))</f>
        <v>0</v>
      </c>
      <c r="AN321" s="56" t="n">
        <f aca="false">MIN(AD321,MAX(0,N(Debts!$E$9)))</f>
        <v>0</v>
      </c>
      <c r="AO321" s="56" t="n">
        <f aca="false">MIN(AE321,MAX(0,N(Debts!$E$10)))</f>
        <v>0</v>
      </c>
      <c r="AP321" s="56" t="n">
        <f aca="false">MIN(AF321,MAX(0,N(Debts!$E$11)))</f>
        <v>0</v>
      </c>
      <c r="AQ321" s="56" t="n">
        <f aca="false">MIN(AG321,MAX(0,N(Debts!$E$12)))</f>
        <v>0</v>
      </c>
      <c r="AR321" s="56" t="n">
        <f aca="false">MIN(AH321,MAX(0,N(Debts!$E$13)))</f>
        <v>0</v>
      </c>
      <c r="AS321" s="56" t="n">
        <f aca="false">MIN(AI321,MAX(0,N(Debts!$E$14)))</f>
        <v>0</v>
      </c>
    </row>
    <row r="322" customFormat="false" ht="15" hidden="false" customHeight="false" outlineLevel="0" collapsed="false">
      <c r="A322" s="53" t="n">
        <v>318</v>
      </c>
      <c r="B322" s="54" t="n">
        <f aca="false">EDATE('Start Here'!$B$8,317)</f>
        <v>55975</v>
      </c>
      <c r="C322" s="42" t="n">
        <f aca="false">SUM(F322:O322)</f>
        <v>0</v>
      </c>
      <c r="D322" s="42" t="n">
        <f aca="false">ROUND(SUM($Z322:$AI322)-SUM(P321:Y321),2)</f>
        <v>0</v>
      </c>
      <c r="E322" s="55" t="n">
        <f aca="false">SUM(P322:Y322)</f>
        <v>0</v>
      </c>
      <c r="F322" s="42" t="n">
        <f aca="false">AJ322+MIN(Z322-AJ322,MAX(0,'Start Here'!$B$10-SUM($AJ322:$AS322)-SUMPRODUCT(($Z$3:$AI$3&lt;Z$3)*($Z322:$AI322-$AJ322:$AS322))))</f>
        <v>0</v>
      </c>
      <c r="G322" s="42" t="n">
        <f aca="false">AK322+MIN(AA322-AK322,MAX(0,'Start Here'!$B$10-SUM($AJ322:$AS322)-SUMPRODUCT(($Z$3:$AI$3&lt;AA$3)*($Z322:$AI322-$AJ322:$AS322))))</f>
        <v>0</v>
      </c>
      <c r="H322" s="42" t="n">
        <f aca="false">AL322+MIN(AB322-AL322,MAX(0,'Start Here'!$B$10-SUM($AJ322:$AS322)-SUMPRODUCT(($Z$3:$AI$3&lt;AB$3)*($Z322:$AI322-$AJ322:$AS322))))</f>
        <v>0</v>
      </c>
      <c r="I322" s="42" t="n">
        <f aca="false">AM322+MIN(AC322-AM322,MAX(0,'Start Here'!$B$10-SUM($AJ322:$AS322)-SUMPRODUCT(($Z$3:$AI$3&lt;AC$3)*($Z322:$AI322-$AJ322:$AS322))))</f>
        <v>0</v>
      </c>
      <c r="J322" s="42" t="n">
        <f aca="false">AN322+MIN(AD322-AN322,MAX(0,'Start Here'!$B$10-SUM($AJ322:$AS322)-SUMPRODUCT(($Z$3:$AI$3&lt;AD$3)*($Z322:$AI322-$AJ322:$AS322))))</f>
        <v>0</v>
      </c>
      <c r="K322" s="42" t="n">
        <f aca="false">AO322+MIN(AE322-AO322,MAX(0,'Start Here'!$B$10-SUM($AJ322:$AS322)-SUMPRODUCT(($Z$3:$AI$3&lt;AE$3)*($Z322:$AI322-$AJ322:$AS322))))</f>
        <v>0</v>
      </c>
      <c r="L322" s="42" t="n">
        <f aca="false">AP322+MIN(AF322-AP322,MAX(0,'Start Here'!$B$10-SUM($AJ322:$AS322)-SUMPRODUCT(($Z$3:$AI$3&lt;AF$3)*($Z322:$AI322-$AJ322:$AS322))))</f>
        <v>0</v>
      </c>
      <c r="M322" s="42" t="n">
        <f aca="false">AQ322+MIN(AG322-AQ322,MAX(0,'Start Here'!$B$10-SUM($AJ322:$AS322)-SUMPRODUCT(($Z$3:$AI$3&lt;AG$3)*($Z322:$AI322-$AJ322:$AS322))))</f>
        <v>0</v>
      </c>
      <c r="N322" s="42" t="n">
        <f aca="false">AR322+MIN(AH322-AR322,MAX(0,'Start Here'!$B$10-SUM($AJ322:$AS322)-SUMPRODUCT(($Z$3:$AI$3&lt;AH$3)*($Z322:$AI322-$AJ322:$AS322))))</f>
        <v>0</v>
      </c>
      <c r="O322" s="42" t="n">
        <f aca="false">AS322+MIN(AI322-AS322,MAX(0,'Start Here'!$B$10-SUM($AJ322:$AS322)-SUMPRODUCT(($Z$3:$AI$3&lt;AI$3)*($Z322:$AI322-$AJ322:$AS322))))</f>
        <v>0</v>
      </c>
      <c r="P322" s="42" t="n">
        <f aca="false">ROUND(Z322-F322,2)</f>
        <v>0</v>
      </c>
      <c r="Q322" s="42" t="n">
        <f aca="false">ROUND(AA322-G322,2)</f>
        <v>0</v>
      </c>
      <c r="R322" s="42" t="n">
        <f aca="false">ROUND(AB322-H322,2)</f>
        <v>0</v>
      </c>
      <c r="S322" s="42" t="n">
        <f aca="false">ROUND(AC322-I322,2)</f>
        <v>0</v>
      </c>
      <c r="T322" s="42" t="n">
        <f aca="false">ROUND(AD322-J322,2)</f>
        <v>0</v>
      </c>
      <c r="U322" s="42" t="n">
        <f aca="false">ROUND(AE322-K322,2)</f>
        <v>0</v>
      </c>
      <c r="V322" s="42" t="n">
        <f aca="false">ROUND(AF322-L322,2)</f>
        <v>0</v>
      </c>
      <c r="W322" s="42" t="n">
        <f aca="false">ROUND(AG322-M322,2)</f>
        <v>0</v>
      </c>
      <c r="X322" s="42" t="n">
        <f aca="false">ROUND(AH322-N322,2)</f>
        <v>0</v>
      </c>
      <c r="Y322" s="42" t="n">
        <f aca="false">ROUND(AI322-O322,2)</f>
        <v>0</v>
      </c>
      <c r="Z322" s="56" t="n">
        <f aca="false">ROUND(P321*(1+N(Debts!$D$5)/12),2)</f>
        <v>0</v>
      </c>
      <c r="AA322" s="56" t="n">
        <f aca="false">ROUND(Q321*(1+N(Debts!$D$6)/12),2)</f>
        <v>0</v>
      </c>
      <c r="AB322" s="56" t="n">
        <f aca="false">ROUND(R321*(1+N(Debts!$D$7)/12),2)</f>
        <v>0</v>
      </c>
      <c r="AC322" s="56" t="n">
        <f aca="false">ROUND(S321*(1+N(Debts!$D$8)/12),2)</f>
        <v>0</v>
      </c>
      <c r="AD322" s="56" t="n">
        <f aca="false">ROUND(T321*(1+N(Debts!$D$9)/12),2)</f>
        <v>0</v>
      </c>
      <c r="AE322" s="56" t="n">
        <f aca="false">ROUND(U321*(1+N(Debts!$D$10)/12),2)</f>
        <v>0</v>
      </c>
      <c r="AF322" s="56" t="n">
        <f aca="false">ROUND(V321*(1+N(Debts!$D$11)/12),2)</f>
        <v>0</v>
      </c>
      <c r="AG322" s="56" t="n">
        <f aca="false">ROUND(W321*(1+N(Debts!$D$12)/12),2)</f>
        <v>0</v>
      </c>
      <c r="AH322" s="56" t="n">
        <f aca="false">ROUND(X321*(1+N(Debts!$D$13)/12),2)</f>
        <v>0</v>
      </c>
      <c r="AI322" s="56" t="n">
        <f aca="false">ROUND(Y321*(1+N(Debts!$D$14)/12),2)</f>
        <v>0</v>
      </c>
      <c r="AJ322" s="56" t="n">
        <f aca="false">MIN(Z322,MAX(0,N(Debts!$E$5)))</f>
        <v>0</v>
      </c>
      <c r="AK322" s="56" t="n">
        <f aca="false">MIN(AA322,MAX(0,N(Debts!$E$6)))</f>
        <v>0</v>
      </c>
      <c r="AL322" s="56" t="n">
        <f aca="false">MIN(AB322,MAX(0,N(Debts!$E$7)))</f>
        <v>0</v>
      </c>
      <c r="AM322" s="56" t="n">
        <f aca="false">MIN(AC322,MAX(0,N(Debts!$E$8)))</f>
        <v>0</v>
      </c>
      <c r="AN322" s="56" t="n">
        <f aca="false">MIN(AD322,MAX(0,N(Debts!$E$9)))</f>
        <v>0</v>
      </c>
      <c r="AO322" s="56" t="n">
        <f aca="false">MIN(AE322,MAX(0,N(Debts!$E$10)))</f>
        <v>0</v>
      </c>
      <c r="AP322" s="56" t="n">
        <f aca="false">MIN(AF322,MAX(0,N(Debts!$E$11)))</f>
        <v>0</v>
      </c>
      <c r="AQ322" s="56" t="n">
        <f aca="false">MIN(AG322,MAX(0,N(Debts!$E$12)))</f>
        <v>0</v>
      </c>
      <c r="AR322" s="56" t="n">
        <f aca="false">MIN(AH322,MAX(0,N(Debts!$E$13)))</f>
        <v>0</v>
      </c>
      <c r="AS322" s="56" t="n">
        <f aca="false">MIN(AI322,MAX(0,N(Debts!$E$14)))</f>
        <v>0</v>
      </c>
    </row>
    <row r="323" customFormat="false" ht="15" hidden="false" customHeight="false" outlineLevel="0" collapsed="false">
      <c r="A323" s="53" t="n">
        <v>319</v>
      </c>
      <c r="B323" s="54" t="n">
        <f aca="false">EDATE('Start Here'!$B$8,318)</f>
        <v>56005</v>
      </c>
      <c r="C323" s="42" t="n">
        <f aca="false">SUM(F323:O323)</f>
        <v>0</v>
      </c>
      <c r="D323" s="42" t="n">
        <f aca="false">ROUND(SUM($Z323:$AI323)-SUM(P322:Y322),2)</f>
        <v>0</v>
      </c>
      <c r="E323" s="55" t="n">
        <f aca="false">SUM(P323:Y323)</f>
        <v>0</v>
      </c>
      <c r="F323" s="42" t="n">
        <f aca="false">AJ323+MIN(Z323-AJ323,MAX(0,'Start Here'!$B$10-SUM($AJ323:$AS323)-SUMPRODUCT(($Z$3:$AI$3&lt;Z$3)*($Z323:$AI323-$AJ323:$AS323))))</f>
        <v>0</v>
      </c>
      <c r="G323" s="42" t="n">
        <f aca="false">AK323+MIN(AA323-AK323,MAX(0,'Start Here'!$B$10-SUM($AJ323:$AS323)-SUMPRODUCT(($Z$3:$AI$3&lt;AA$3)*($Z323:$AI323-$AJ323:$AS323))))</f>
        <v>0</v>
      </c>
      <c r="H323" s="42" t="n">
        <f aca="false">AL323+MIN(AB323-AL323,MAX(0,'Start Here'!$B$10-SUM($AJ323:$AS323)-SUMPRODUCT(($Z$3:$AI$3&lt;AB$3)*($Z323:$AI323-$AJ323:$AS323))))</f>
        <v>0</v>
      </c>
      <c r="I323" s="42" t="n">
        <f aca="false">AM323+MIN(AC323-AM323,MAX(0,'Start Here'!$B$10-SUM($AJ323:$AS323)-SUMPRODUCT(($Z$3:$AI$3&lt;AC$3)*($Z323:$AI323-$AJ323:$AS323))))</f>
        <v>0</v>
      </c>
      <c r="J323" s="42" t="n">
        <f aca="false">AN323+MIN(AD323-AN323,MAX(0,'Start Here'!$B$10-SUM($AJ323:$AS323)-SUMPRODUCT(($Z$3:$AI$3&lt;AD$3)*($Z323:$AI323-$AJ323:$AS323))))</f>
        <v>0</v>
      </c>
      <c r="K323" s="42" t="n">
        <f aca="false">AO323+MIN(AE323-AO323,MAX(0,'Start Here'!$B$10-SUM($AJ323:$AS323)-SUMPRODUCT(($Z$3:$AI$3&lt;AE$3)*($Z323:$AI323-$AJ323:$AS323))))</f>
        <v>0</v>
      </c>
      <c r="L323" s="42" t="n">
        <f aca="false">AP323+MIN(AF323-AP323,MAX(0,'Start Here'!$B$10-SUM($AJ323:$AS323)-SUMPRODUCT(($Z$3:$AI$3&lt;AF$3)*($Z323:$AI323-$AJ323:$AS323))))</f>
        <v>0</v>
      </c>
      <c r="M323" s="42" t="n">
        <f aca="false">AQ323+MIN(AG323-AQ323,MAX(0,'Start Here'!$B$10-SUM($AJ323:$AS323)-SUMPRODUCT(($Z$3:$AI$3&lt;AG$3)*($Z323:$AI323-$AJ323:$AS323))))</f>
        <v>0</v>
      </c>
      <c r="N323" s="42" t="n">
        <f aca="false">AR323+MIN(AH323-AR323,MAX(0,'Start Here'!$B$10-SUM($AJ323:$AS323)-SUMPRODUCT(($Z$3:$AI$3&lt;AH$3)*($Z323:$AI323-$AJ323:$AS323))))</f>
        <v>0</v>
      </c>
      <c r="O323" s="42" t="n">
        <f aca="false">AS323+MIN(AI323-AS323,MAX(0,'Start Here'!$B$10-SUM($AJ323:$AS323)-SUMPRODUCT(($Z$3:$AI$3&lt;AI$3)*($Z323:$AI323-$AJ323:$AS323))))</f>
        <v>0</v>
      </c>
      <c r="P323" s="42" t="n">
        <f aca="false">ROUND(Z323-F323,2)</f>
        <v>0</v>
      </c>
      <c r="Q323" s="42" t="n">
        <f aca="false">ROUND(AA323-G323,2)</f>
        <v>0</v>
      </c>
      <c r="R323" s="42" t="n">
        <f aca="false">ROUND(AB323-H323,2)</f>
        <v>0</v>
      </c>
      <c r="S323" s="42" t="n">
        <f aca="false">ROUND(AC323-I323,2)</f>
        <v>0</v>
      </c>
      <c r="T323" s="42" t="n">
        <f aca="false">ROUND(AD323-J323,2)</f>
        <v>0</v>
      </c>
      <c r="U323" s="42" t="n">
        <f aca="false">ROUND(AE323-K323,2)</f>
        <v>0</v>
      </c>
      <c r="V323" s="42" t="n">
        <f aca="false">ROUND(AF323-L323,2)</f>
        <v>0</v>
      </c>
      <c r="W323" s="42" t="n">
        <f aca="false">ROUND(AG323-M323,2)</f>
        <v>0</v>
      </c>
      <c r="X323" s="42" t="n">
        <f aca="false">ROUND(AH323-N323,2)</f>
        <v>0</v>
      </c>
      <c r="Y323" s="42" t="n">
        <f aca="false">ROUND(AI323-O323,2)</f>
        <v>0</v>
      </c>
      <c r="Z323" s="56" t="n">
        <f aca="false">ROUND(P322*(1+N(Debts!$D$5)/12),2)</f>
        <v>0</v>
      </c>
      <c r="AA323" s="56" t="n">
        <f aca="false">ROUND(Q322*(1+N(Debts!$D$6)/12),2)</f>
        <v>0</v>
      </c>
      <c r="AB323" s="56" t="n">
        <f aca="false">ROUND(R322*(1+N(Debts!$D$7)/12),2)</f>
        <v>0</v>
      </c>
      <c r="AC323" s="56" t="n">
        <f aca="false">ROUND(S322*(1+N(Debts!$D$8)/12),2)</f>
        <v>0</v>
      </c>
      <c r="AD323" s="56" t="n">
        <f aca="false">ROUND(T322*(1+N(Debts!$D$9)/12),2)</f>
        <v>0</v>
      </c>
      <c r="AE323" s="56" t="n">
        <f aca="false">ROUND(U322*(1+N(Debts!$D$10)/12),2)</f>
        <v>0</v>
      </c>
      <c r="AF323" s="56" t="n">
        <f aca="false">ROUND(V322*(1+N(Debts!$D$11)/12),2)</f>
        <v>0</v>
      </c>
      <c r="AG323" s="56" t="n">
        <f aca="false">ROUND(W322*(1+N(Debts!$D$12)/12),2)</f>
        <v>0</v>
      </c>
      <c r="AH323" s="56" t="n">
        <f aca="false">ROUND(X322*(1+N(Debts!$D$13)/12),2)</f>
        <v>0</v>
      </c>
      <c r="AI323" s="56" t="n">
        <f aca="false">ROUND(Y322*(1+N(Debts!$D$14)/12),2)</f>
        <v>0</v>
      </c>
      <c r="AJ323" s="56" t="n">
        <f aca="false">MIN(Z323,MAX(0,N(Debts!$E$5)))</f>
        <v>0</v>
      </c>
      <c r="AK323" s="56" t="n">
        <f aca="false">MIN(AA323,MAX(0,N(Debts!$E$6)))</f>
        <v>0</v>
      </c>
      <c r="AL323" s="56" t="n">
        <f aca="false">MIN(AB323,MAX(0,N(Debts!$E$7)))</f>
        <v>0</v>
      </c>
      <c r="AM323" s="56" t="n">
        <f aca="false">MIN(AC323,MAX(0,N(Debts!$E$8)))</f>
        <v>0</v>
      </c>
      <c r="AN323" s="56" t="n">
        <f aca="false">MIN(AD323,MAX(0,N(Debts!$E$9)))</f>
        <v>0</v>
      </c>
      <c r="AO323" s="56" t="n">
        <f aca="false">MIN(AE323,MAX(0,N(Debts!$E$10)))</f>
        <v>0</v>
      </c>
      <c r="AP323" s="56" t="n">
        <f aca="false">MIN(AF323,MAX(0,N(Debts!$E$11)))</f>
        <v>0</v>
      </c>
      <c r="AQ323" s="56" t="n">
        <f aca="false">MIN(AG323,MAX(0,N(Debts!$E$12)))</f>
        <v>0</v>
      </c>
      <c r="AR323" s="56" t="n">
        <f aca="false">MIN(AH323,MAX(0,N(Debts!$E$13)))</f>
        <v>0</v>
      </c>
      <c r="AS323" s="56" t="n">
        <f aca="false">MIN(AI323,MAX(0,N(Debts!$E$14)))</f>
        <v>0</v>
      </c>
    </row>
    <row r="324" customFormat="false" ht="15" hidden="false" customHeight="false" outlineLevel="0" collapsed="false">
      <c r="A324" s="53" t="n">
        <v>320</v>
      </c>
      <c r="B324" s="54" t="n">
        <f aca="false">EDATE('Start Here'!$B$8,319)</f>
        <v>56036</v>
      </c>
      <c r="C324" s="42" t="n">
        <f aca="false">SUM(F324:O324)</f>
        <v>0</v>
      </c>
      <c r="D324" s="42" t="n">
        <f aca="false">ROUND(SUM($Z324:$AI324)-SUM(P323:Y323),2)</f>
        <v>0</v>
      </c>
      <c r="E324" s="55" t="n">
        <f aca="false">SUM(P324:Y324)</f>
        <v>0</v>
      </c>
      <c r="F324" s="42" t="n">
        <f aca="false">AJ324+MIN(Z324-AJ324,MAX(0,'Start Here'!$B$10-SUM($AJ324:$AS324)-SUMPRODUCT(($Z$3:$AI$3&lt;Z$3)*($Z324:$AI324-$AJ324:$AS324))))</f>
        <v>0</v>
      </c>
      <c r="G324" s="42" t="n">
        <f aca="false">AK324+MIN(AA324-AK324,MAX(0,'Start Here'!$B$10-SUM($AJ324:$AS324)-SUMPRODUCT(($Z$3:$AI$3&lt;AA$3)*($Z324:$AI324-$AJ324:$AS324))))</f>
        <v>0</v>
      </c>
      <c r="H324" s="42" t="n">
        <f aca="false">AL324+MIN(AB324-AL324,MAX(0,'Start Here'!$B$10-SUM($AJ324:$AS324)-SUMPRODUCT(($Z$3:$AI$3&lt;AB$3)*($Z324:$AI324-$AJ324:$AS324))))</f>
        <v>0</v>
      </c>
      <c r="I324" s="42" t="n">
        <f aca="false">AM324+MIN(AC324-AM324,MAX(0,'Start Here'!$B$10-SUM($AJ324:$AS324)-SUMPRODUCT(($Z$3:$AI$3&lt;AC$3)*($Z324:$AI324-$AJ324:$AS324))))</f>
        <v>0</v>
      </c>
      <c r="J324" s="42" t="n">
        <f aca="false">AN324+MIN(AD324-AN324,MAX(0,'Start Here'!$B$10-SUM($AJ324:$AS324)-SUMPRODUCT(($Z$3:$AI$3&lt;AD$3)*($Z324:$AI324-$AJ324:$AS324))))</f>
        <v>0</v>
      </c>
      <c r="K324" s="42" t="n">
        <f aca="false">AO324+MIN(AE324-AO324,MAX(0,'Start Here'!$B$10-SUM($AJ324:$AS324)-SUMPRODUCT(($Z$3:$AI$3&lt;AE$3)*($Z324:$AI324-$AJ324:$AS324))))</f>
        <v>0</v>
      </c>
      <c r="L324" s="42" t="n">
        <f aca="false">AP324+MIN(AF324-AP324,MAX(0,'Start Here'!$B$10-SUM($AJ324:$AS324)-SUMPRODUCT(($Z$3:$AI$3&lt;AF$3)*($Z324:$AI324-$AJ324:$AS324))))</f>
        <v>0</v>
      </c>
      <c r="M324" s="42" t="n">
        <f aca="false">AQ324+MIN(AG324-AQ324,MAX(0,'Start Here'!$B$10-SUM($AJ324:$AS324)-SUMPRODUCT(($Z$3:$AI$3&lt;AG$3)*($Z324:$AI324-$AJ324:$AS324))))</f>
        <v>0</v>
      </c>
      <c r="N324" s="42" t="n">
        <f aca="false">AR324+MIN(AH324-AR324,MAX(0,'Start Here'!$B$10-SUM($AJ324:$AS324)-SUMPRODUCT(($Z$3:$AI$3&lt;AH$3)*($Z324:$AI324-$AJ324:$AS324))))</f>
        <v>0</v>
      </c>
      <c r="O324" s="42" t="n">
        <f aca="false">AS324+MIN(AI324-AS324,MAX(0,'Start Here'!$B$10-SUM($AJ324:$AS324)-SUMPRODUCT(($Z$3:$AI$3&lt;AI$3)*($Z324:$AI324-$AJ324:$AS324))))</f>
        <v>0</v>
      </c>
      <c r="P324" s="42" t="n">
        <f aca="false">ROUND(Z324-F324,2)</f>
        <v>0</v>
      </c>
      <c r="Q324" s="42" t="n">
        <f aca="false">ROUND(AA324-G324,2)</f>
        <v>0</v>
      </c>
      <c r="R324" s="42" t="n">
        <f aca="false">ROUND(AB324-H324,2)</f>
        <v>0</v>
      </c>
      <c r="S324" s="42" t="n">
        <f aca="false">ROUND(AC324-I324,2)</f>
        <v>0</v>
      </c>
      <c r="T324" s="42" t="n">
        <f aca="false">ROUND(AD324-J324,2)</f>
        <v>0</v>
      </c>
      <c r="U324" s="42" t="n">
        <f aca="false">ROUND(AE324-K324,2)</f>
        <v>0</v>
      </c>
      <c r="V324" s="42" t="n">
        <f aca="false">ROUND(AF324-L324,2)</f>
        <v>0</v>
      </c>
      <c r="W324" s="42" t="n">
        <f aca="false">ROUND(AG324-M324,2)</f>
        <v>0</v>
      </c>
      <c r="X324" s="42" t="n">
        <f aca="false">ROUND(AH324-N324,2)</f>
        <v>0</v>
      </c>
      <c r="Y324" s="42" t="n">
        <f aca="false">ROUND(AI324-O324,2)</f>
        <v>0</v>
      </c>
      <c r="Z324" s="56" t="n">
        <f aca="false">ROUND(P323*(1+N(Debts!$D$5)/12),2)</f>
        <v>0</v>
      </c>
      <c r="AA324" s="56" t="n">
        <f aca="false">ROUND(Q323*(1+N(Debts!$D$6)/12),2)</f>
        <v>0</v>
      </c>
      <c r="AB324" s="56" t="n">
        <f aca="false">ROUND(R323*(1+N(Debts!$D$7)/12),2)</f>
        <v>0</v>
      </c>
      <c r="AC324" s="56" t="n">
        <f aca="false">ROUND(S323*(1+N(Debts!$D$8)/12),2)</f>
        <v>0</v>
      </c>
      <c r="AD324" s="56" t="n">
        <f aca="false">ROUND(T323*(1+N(Debts!$D$9)/12),2)</f>
        <v>0</v>
      </c>
      <c r="AE324" s="56" t="n">
        <f aca="false">ROUND(U323*(1+N(Debts!$D$10)/12),2)</f>
        <v>0</v>
      </c>
      <c r="AF324" s="56" t="n">
        <f aca="false">ROUND(V323*(1+N(Debts!$D$11)/12),2)</f>
        <v>0</v>
      </c>
      <c r="AG324" s="56" t="n">
        <f aca="false">ROUND(W323*(1+N(Debts!$D$12)/12),2)</f>
        <v>0</v>
      </c>
      <c r="AH324" s="56" t="n">
        <f aca="false">ROUND(X323*(1+N(Debts!$D$13)/12),2)</f>
        <v>0</v>
      </c>
      <c r="AI324" s="56" t="n">
        <f aca="false">ROUND(Y323*(1+N(Debts!$D$14)/12),2)</f>
        <v>0</v>
      </c>
      <c r="AJ324" s="56" t="n">
        <f aca="false">MIN(Z324,MAX(0,N(Debts!$E$5)))</f>
        <v>0</v>
      </c>
      <c r="AK324" s="56" t="n">
        <f aca="false">MIN(AA324,MAX(0,N(Debts!$E$6)))</f>
        <v>0</v>
      </c>
      <c r="AL324" s="56" t="n">
        <f aca="false">MIN(AB324,MAX(0,N(Debts!$E$7)))</f>
        <v>0</v>
      </c>
      <c r="AM324" s="56" t="n">
        <f aca="false">MIN(AC324,MAX(0,N(Debts!$E$8)))</f>
        <v>0</v>
      </c>
      <c r="AN324" s="56" t="n">
        <f aca="false">MIN(AD324,MAX(0,N(Debts!$E$9)))</f>
        <v>0</v>
      </c>
      <c r="AO324" s="56" t="n">
        <f aca="false">MIN(AE324,MAX(0,N(Debts!$E$10)))</f>
        <v>0</v>
      </c>
      <c r="AP324" s="56" t="n">
        <f aca="false">MIN(AF324,MAX(0,N(Debts!$E$11)))</f>
        <v>0</v>
      </c>
      <c r="AQ324" s="56" t="n">
        <f aca="false">MIN(AG324,MAX(0,N(Debts!$E$12)))</f>
        <v>0</v>
      </c>
      <c r="AR324" s="56" t="n">
        <f aca="false">MIN(AH324,MAX(0,N(Debts!$E$13)))</f>
        <v>0</v>
      </c>
      <c r="AS324" s="56" t="n">
        <f aca="false">MIN(AI324,MAX(0,N(Debts!$E$14)))</f>
        <v>0</v>
      </c>
    </row>
    <row r="325" customFormat="false" ht="15" hidden="false" customHeight="false" outlineLevel="0" collapsed="false">
      <c r="A325" s="53" t="n">
        <v>321</v>
      </c>
      <c r="B325" s="54" t="n">
        <f aca="false">EDATE('Start Here'!$B$8,320)</f>
        <v>56066</v>
      </c>
      <c r="C325" s="42" t="n">
        <f aca="false">SUM(F325:O325)</f>
        <v>0</v>
      </c>
      <c r="D325" s="42" t="n">
        <f aca="false">ROUND(SUM($Z325:$AI325)-SUM(P324:Y324),2)</f>
        <v>0</v>
      </c>
      <c r="E325" s="55" t="n">
        <f aca="false">SUM(P325:Y325)</f>
        <v>0</v>
      </c>
      <c r="F325" s="42" t="n">
        <f aca="false">AJ325+MIN(Z325-AJ325,MAX(0,'Start Here'!$B$10-SUM($AJ325:$AS325)-SUMPRODUCT(($Z$3:$AI$3&lt;Z$3)*($Z325:$AI325-$AJ325:$AS325))))</f>
        <v>0</v>
      </c>
      <c r="G325" s="42" t="n">
        <f aca="false">AK325+MIN(AA325-AK325,MAX(0,'Start Here'!$B$10-SUM($AJ325:$AS325)-SUMPRODUCT(($Z$3:$AI$3&lt;AA$3)*($Z325:$AI325-$AJ325:$AS325))))</f>
        <v>0</v>
      </c>
      <c r="H325" s="42" t="n">
        <f aca="false">AL325+MIN(AB325-AL325,MAX(0,'Start Here'!$B$10-SUM($AJ325:$AS325)-SUMPRODUCT(($Z$3:$AI$3&lt;AB$3)*($Z325:$AI325-$AJ325:$AS325))))</f>
        <v>0</v>
      </c>
      <c r="I325" s="42" t="n">
        <f aca="false">AM325+MIN(AC325-AM325,MAX(0,'Start Here'!$B$10-SUM($AJ325:$AS325)-SUMPRODUCT(($Z$3:$AI$3&lt;AC$3)*($Z325:$AI325-$AJ325:$AS325))))</f>
        <v>0</v>
      </c>
      <c r="J325" s="42" t="n">
        <f aca="false">AN325+MIN(AD325-AN325,MAX(0,'Start Here'!$B$10-SUM($AJ325:$AS325)-SUMPRODUCT(($Z$3:$AI$3&lt;AD$3)*($Z325:$AI325-$AJ325:$AS325))))</f>
        <v>0</v>
      </c>
      <c r="K325" s="42" t="n">
        <f aca="false">AO325+MIN(AE325-AO325,MAX(0,'Start Here'!$B$10-SUM($AJ325:$AS325)-SUMPRODUCT(($Z$3:$AI$3&lt;AE$3)*($Z325:$AI325-$AJ325:$AS325))))</f>
        <v>0</v>
      </c>
      <c r="L325" s="42" t="n">
        <f aca="false">AP325+MIN(AF325-AP325,MAX(0,'Start Here'!$B$10-SUM($AJ325:$AS325)-SUMPRODUCT(($Z$3:$AI$3&lt;AF$3)*($Z325:$AI325-$AJ325:$AS325))))</f>
        <v>0</v>
      </c>
      <c r="M325" s="42" t="n">
        <f aca="false">AQ325+MIN(AG325-AQ325,MAX(0,'Start Here'!$B$10-SUM($AJ325:$AS325)-SUMPRODUCT(($Z$3:$AI$3&lt;AG$3)*($Z325:$AI325-$AJ325:$AS325))))</f>
        <v>0</v>
      </c>
      <c r="N325" s="42" t="n">
        <f aca="false">AR325+MIN(AH325-AR325,MAX(0,'Start Here'!$B$10-SUM($AJ325:$AS325)-SUMPRODUCT(($Z$3:$AI$3&lt;AH$3)*($Z325:$AI325-$AJ325:$AS325))))</f>
        <v>0</v>
      </c>
      <c r="O325" s="42" t="n">
        <f aca="false">AS325+MIN(AI325-AS325,MAX(0,'Start Here'!$B$10-SUM($AJ325:$AS325)-SUMPRODUCT(($Z$3:$AI$3&lt;AI$3)*($Z325:$AI325-$AJ325:$AS325))))</f>
        <v>0</v>
      </c>
      <c r="P325" s="42" t="n">
        <f aca="false">ROUND(Z325-F325,2)</f>
        <v>0</v>
      </c>
      <c r="Q325" s="42" t="n">
        <f aca="false">ROUND(AA325-G325,2)</f>
        <v>0</v>
      </c>
      <c r="R325" s="42" t="n">
        <f aca="false">ROUND(AB325-H325,2)</f>
        <v>0</v>
      </c>
      <c r="S325" s="42" t="n">
        <f aca="false">ROUND(AC325-I325,2)</f>
        <v>0</v>
      </c>
      <c r="T325" s="42" t="n">
        <f aca="false">ROUND(AD325-J325,2)</f>
        <v>0</v>
      </c>
      <c r="U325" s="42" t="n">
        <f aca="false">ROUND(AE325-K325,2)</f>
        <v>0</v>
      </c>
      <c r="V325" s="42" t="n">
        <f aca="false">ROUND(AF325-L325,2)</f>
        <v>0</v>
      </c>
      <c r="W325" s="42" t="n">
        <f aca="false">ROUND(AG325-M325,2)</f>
        <v>0</v>
      </c>
      <c r="X325" s="42" t="n">
        <f aca="false">ROUND(AH325-N325,2)</f>
        <v>0</v>
      </c>
      <c r="Y325" s="42" t="n">
        <f aca="false">ROUND(AI325-O325,2)</f>
        <v>0</v>
      </c>
      <c r="Z325" s="56" t="n">
        <f aca="false">ROUND(P324*(1+N(Debts!$D$5)/12),2)</f>
        <v>0</v>
      </c>
      <c r="AA325" s="56" t="n">
        <f aca="false">ROUND(Q324*(1+N(Debts!$D$6)/12),2)</f>
        <v>0</v>
      </c>
      <c r="AB325" s="56" t="n">
        <f aca="false">ROUND(R324*(1+N(Debts!$D$7)/12),2)</f>
        <v>0</v>
      </c>
      <c r="AC325" s="56" t="n">
        <f aca="false">ROUND(S324*(1+N(Debts!$D$8)/12),2)</f>
        <v>0</v>
      </c>
      <c r="AD325" s="56" t="n">
        <f aca="false">ROUND(T324*(1+N(Debts!$D$9)/12),2)</f>
        <v>0</v>
      </c>
      <c r="AE325" s="56" t="n">
        <f aca="false">ROUND(U324*(1+N(Debts!$D$10)/12),2)</f>
        <v>0</v>
      </c>
      <c r="AF325" s="56" t="n">
        <f aca="false">ROUND(V324*(1+N(Debts!$D$11)/12),2)</f>
        <v>0</v>
      </c>
      <c r="AG325" s="56" t="n">
        <f aca="false">ROUND(W324*(1+N(Debts!$D$12)/12),2)</f>
        <v>0</v>
      </c>
      <c r="AH325" s="56" t="n">
        <f aca="false">ROUND(X324*(1+N(Debts!$D$13)/12),2)</f>
        <v>0</v>
      </c>
      <c r="AI325" s="56" t="n">
        <f aca="false">ROUND(Y324*(1+N(Debts!$D$14)/12),2)</f>
        <v>0</v>
      </c>
      <c r="AJ325" s="56" t="n">
        <f aca="false">MIN(Z325,MAX(0,N(Debts!$E$5)))</f>
        <v>0</v>
      </c>
      <c r="AK325" s="56" t="n">
        <f aca="false">MIN(AA325,MAX(0,N(Debts!$E$6)))</f>
        <v>0</v>
      </c>
      <c r="AL325" s="56" t="n">
        <f aca="false">MIN(AB325,MAX(0,N(Debts!$E$7)))</f>
        <v>0</v>
      </c>
      <c r="AM325" s="56" t="n">
        <f aca="false">MIN(AC325,MAX(0,N(Debts!$E$8)))</f>
        <v>0</v>
      </c>
      <c r="AN325" s="56" t="n">
        <f aca="false">MIN(AD325,MAX(0,N(Debts!$E$9)))</f>
        <v>0</v>
      </c>
      <c r="AO325" s="56" t="n">
        <f aca="false">MIN(AE325,MAX(0,N(Debts!$E$10)))</f>
        <v>0</v>
      </c>
      <c r="AP325" s="56" t="n">
        <f aca="false">MIN(AF325,MAX(0,N(Debts!$E$11)))</f>
        <v>0</v>
      </c>
      <c r="AQ325" s="56" t="n">
        <f aca="false">MIN(AG325,MAX(0,N(Debts!$E$12)))</f>
        <v>0</v>
      </c>
      <c r="AR325" s="56" t="n">
        <f aca="false">MIN(AH325,MAX(0,N(Debts!$E$13)))</f>
        <v>0</v>
      </c>
      <c r="AS325" s="56" t="n">
        <f aca="false">MIN(AI325,MAX(0,N(Debts!$E$14)))</f>
        <v>0</v>
      </c>
    </row>
    <row r="326" customFormat="false" ht="15" hidden="false" customHeight="false" outlineLevel="0" collapsed="false">
      <c r="A326" s="53" t="n">
        <v>322</v>
      </c>
      <c r="B326" s="54" t="n">
        <f aca="false">EDATE('Start Here'!$B$8,321)</f>
        <v>56097</v>
      </c>
      <c r="C326" s="42" t="n">
        <f aca="false">SUM(F326:O326)</f>
        <v>0</v>
      </c>
      <c r="D326" s="42" t="n">
        <f aca="false">ROUND(SUM($Z326:$AI326)-SUM(P325:Y325),2)</f>
        <v>0</v>
      </c>
      <c r="E326" s="55" t="n">
        <f aca="false">SUM(P326:Y326)</f>
        <v>0</v>
      </c>
      <c r="F326" s="42" t="n">
        <f aca="false">AJ326+MIN(Z326-AJ326,MAX(0,'Start Here'!$B$10-SUM($AJ326:$AS326)-SUMPRODUCT(($Z$3:$AI$3&lt;Z$3)*($Z326:$AI326-$AJ326:$AS326))))</f>
        <v>0</v>
      </c>
      <c r="G326" s="42" t="n">
        <f aca="false">AK326+MIN(AA326-AK326,MAX(0,'Start Here'!$B$10-SUM($AJ326:$AS326)-SUMPRODUCT(($Z$3:$AI$3&lt;AA$3)*($Z326:$AI326-$AJ326:$AS326))))</f>
        <v>0</v>
      </c>
      <c r="H326" s="42" t="n">
        <f aca="false">AL326+MIN(AB326-AL326,MAX(0,'Start Here'!$B$10-SUM($AJ326:$AS326)-SUMPRODUCT(($Z$3:$AI$3&lt;AB$3)*($Z326:$AI326-$AJ326:$AS326))))</f>
        <v>0</v>
      </c>
      <c r="I326" s="42" t="n">
        <f aca="false">AM326+MIN(AC326-AM326,MAX(0,'Start Here'!$B$10-SUM($AJ326:$AS326)-SUMPRODUCT(($Z$3:$AI$3&lt;AC$3)*($Z326:$AI326-$AJ326:$AS326))))</f>
        <v>0</v>
      </c>
      <c r="J326" s="42" t="n">
        <f aca="false">AN326+MIN(AD326-AN326,MAX(0,'Start Here'!$B$10-SUM($AJ326:$AS326)-SUMPRODUCT(($Z$3:$AI$3&lt;AD$3)*($Z326:$AI326-$AJ326:$AS326))))</f>
        <v>0</v>
      </c>
      <c r="K326" s="42" t="n">
        <f aca="false">AO326+MIN(AE326-AO326,MAX(0,'Start Here'!$B$10-SUM($AJ326:$AS326)-SUMPRODUCT(($Z$3:$AI$3&lt;AE$3)*($Z326:$AI326-$AJ326:$AS326))))</f>
        <v>0</v>
      </c>
      <c r="L326" s="42" t="n">
        <f aca="false">AP326+MIN(AF326-AP326,MAX(0,'Start Here'!$B$10-SUM($AJ326:$AS326)-SUMPRODUCT(($Z$3:$AI$3&lt;AF$3)*($Z326:$AI326-$AJ326:$AS326))))</f>
        <v>0</v>
      </c>
      <c r="M326" s="42" t="n">
        <f aca="false">AQ326+MIN(AG326-AQ326,MAX(0,'Start Here'!$B$10-SUM($AJ326:$AS326)-SUMPRODUCT(($Z$3:$AI$3&lt;AG$3)*($Z326:$AI326-$AJ326:$AS326))))</f>
        <v>0</v>
      </c>
      <c r="N326" s="42" t="n">
        <f aca="false">AR326+MIN(AH326-AR326,MAX(0,'Start Here'!$B$10-SUM($AJ326:$AS326)-SUMPRODUCT(($Z$3:$AI$3&lt;AH$3)*($Z326:$AI326-$AJ326:$AS326))))</f>
        <v>0</v>
      </c>
      <c r="O326" s="42" t="n">
        <f aca="false">AS326+MIN(AI326-AS326,MAX(0,'Start Here'!$B$10-SUM($AJ326:$AS326)-SUMPRODUCT(($Z$3:$AI$3&lt;AI$3)*($Z326:$AI326-$AJ326:$AS326))))</f>
        <v>0</v>
      </c>
      <c r="P326" s="42" t="n">
        <f aca="false">ROUND(Z326-F326,2)</f>
        <v>0</v>
      </c>
      <c r="Q326" s="42" t="n">
        <f aca="false">ROUND(AA326-G326,2)</f>
        <v>0</v>
      </c>
      <c r="R326" s="42" t="n">
        <f aca="false">ROUND(AB326-H326,2)</f>
        <v>0</v>
      </c>
      <c r="S326" s="42" t="n">
        <f aca="false">ROUND(AC326-I326,2)</f>
        <v>0</v>
      </c>
      <c r="T326" s="42" t="n">
        <f aca="false">ROUND(AD326-J326,2)</f>
        <v>0</v>
      </c>
      <c r="U326" s="42" t="n">
        <f aca="false">ROUND(AE326-K326,2)</f>
        <v>0</v>
      </c>
      <c r="V326" s="42" t="n">
        <f aca="false">ROUND(AF326-L326,2)</f>
        <v>0</v>
      </c>
      <c r="W326" s="42" t="n">
        <f aca="false">ROUND(AG326-M326,2)</f>
        <v>0</v>
      </c>
      <c r="X326" s="42" t="n">
        <f aca="false">ROUND(AH326-N326,2)</f>
        <v>0</v>
      </c>
      <c r="Y326" s="42" t="n">
        <f aca="false">ROUND(AI326-O326,2)</f>
        <v>0</v>
      </c>
      <c r="Z326" s="56" t="n">
        <f aca="false">ROUND(P325*(1+N(Debts!$D$5)/12),2)</f>
        <v>0</v>
      </c>
      <c r="AA326" s="56" t="n">
        <f aca="false">ROUND(Q325*(1+N(Debts!$D$6)/12),2)</f>
        <v>0</v>
      </c>
      <c r="AB326" s="56" t="n">
        <f aca="false">ROUND(R325*(1+N(Debts!$D$7)/12),2)</f>
        <v>0</v>
      </c>
      <c r="AC326" s="56" t="n">
        <f aca="false">ROUND(S325*(1+N(Debts!$D$8)/12),2)</f>
        <v>0</v>
      </c>
      <c r="AD326" s="56" t="n">
        <f aca="false">ROUND(T325*(1+N(Debts!$D$9)/12),2)</f>
        <v>0</v>
      </c>
      <c r="AE326" s="56" t="n">
        <f aca="false">ROUND(U325*(1+N(Debts!$D$10)/12),2)</f>
        <v>0</v>
      </c>
      <c r="AF326" s="56" t="n">
        <f aca="false">ROUND(V325*(1+N(Debts!$D$11)/12),2)</f>
        <v>0</v>
      </c>
      <c r="AG326" s="56" t="n">
        <f aca="false">ROUND(W325*(1+N(Debts!$D$12)/12),2)</f>
        <v>0</v>
      </c>
      <c r="AH326" s="56" t="n">
        <f aca="false">ROUND(X325*(1+N(Debts!$D$13)/12),2)</f>
        <v>0</v>
      </c>
      <c r="AI326" s="56" t="n">
        <f aca="false">ROUND(Y325*(1+N(Debts!$D$14)/12),2)</f>
        <v>0</v>
      </c>
      <c r="AJ326" s="56" t="n">
        <f aca="false">MIN(Z326,MAX(0,N(Debts!$E$5)))</f>
        <v>0</v>
      </c>
      <c r="AK326" s="56" t="n">
        <f aca="false">MIN(AA326,MAX(0,N(Debts!$E$6)))</f>
        <v>0</v>
      </c>
      <c r="AL326" s="56" t="n">
        <f aca="false">MIN(AB326,MAX(0,N(Debts!$E$7)))</f>
        <v>0</v>
      </c>
      <c r="AM326" s="56" t="n">
        <f aca="false">MIN(AC326,MAX(0,N(Debts!$E$8)))</f>
        <v>0</v>
      </c>
      <c r="AN326" s="56" t="n">
        <f aca="false">MIN(AD326,MAX(0,N(Debts!$E$9)))</f>
        <v>0</v>
      </c>
      <c r="AO326" s="56" t="n">
        <f aca="false">MIN(AE326,MAX(0,N(Debts!$E$10)))</f>
        <v>0</v>
      </c>
      <c r="AP326" s="56" t="n">
        <f aca="false">MIN(AF326,MAX(0,N(Debts!$E$11)))</f>
        <v>0</v>
      </c>
      <c r="AQ326" s="56" t="n">
        <f aca="false">MIN(AG326,MAX(0,N(Debts!$E$12)))</f>
        <v>0</v>
      </c>
      <c r="AR326" s="56" t="n">
        <f aca="false">MIN(AH326,MAX(0,N(Debts!$E$13)))</f>
        <v>0</v>
      </c>
      <c r="AS326" s="56" t="n">
        <f aca="false">MIN(AI326,MAX(0,N(Debts!$E$14)))</f>
        <v>0</v>
      </c>
    </row>
    <row r="327" customFormat="false" ht="15" hidden="false" customHeight="false" outlineLevel="0" collapsed="false">
      <c r="A327" s="53" t="n">
        <v>323</v>
      </c>
      <c r="B327" s="54" t="n">
        <f aca="false">EDATE('Start Here'!$B$8,322)</f>
        <v>56128</v>
      </c>
      <c r="C327" s="42" t="n">
        <f aca="false">SUM(F327:O327)</f>
        <v>0</v>
      </c>
      <c r="D327" s="42" t="n">
        <f aca="false">ROUND(SUM($Z327:$AI327)-SUM(P326:Y326),2)</f>
        <v>0</v>
      </c>
      <c r="E327" s="55" t="n">
        <f aca="false">SUM(P327:Y327)</f>
        <v>0</v>
      </c>
      <c r="F327" s="42" t="n">
        <f aca="false">AJ327+MIN(Z327-AJ327,MAX(0,'Start Here'!$B$10-SUM($AJ327:$AS327)-SUMPRODUCT(($Z$3:$AI$3&lt;Z$3)*($Z327:$AI327-$AJ327:$AS327))))</f>
        <v>0</v>
      </c>
      <c r="G327" s="42" t="n">
        <f aca="false">AK327+MIN(AA327-AK327,MAX(0,'Start Here'!$B$10-SUM($AJ327:$AS327)-SUMPRODUCT(($Z$3:$AI$3&lt;AA$3)*($Z327:$AI327-$AJ327:$AS327))))</f>
        <v>0</v>
      </c>
      <c r="H327" s="42" t="n">
        <f aca="false">AL327+MIN(AB327-AL327,MAX(0,'Start Here'!$B$10-SUM($AJ327:$AS327)-SUMPRODUCT(($Z$3:$AI$3&lt;AB$3)*($Z327:$AI327-$AJ327:$AS327))))</f>
        <v>0</v>
      </c>
      <c r="I327" s="42" t="n">
        <f aca="false">AM327+MIN(AC327-AM327,MAX(0,'Start Here'!$B$10-SUM($AJ327:$AS327)-SUMPRODUCT(($Z$3:$AI$3&lt;AC$3)*($Z327:$AI327-$AJ327:$AS327))))</f>
        <v>0</v>
      </c>
      <c r="J327" s="42" t="n">
        <f aca="false">AN327+MIN(AD327-AN327,MAX(0,'Start Here'!$B$10-SUM($AJ327:$AS327)-SUMPRODUCT(($Z$3:$AI$3&lt;AD$3)*($Z327:$AI327-$AJ327:$AS327))))</f>
        <v>0</v>
      </c>
      <c r="K327" s="42" t="n">
        <f aca="false">AO327+MIN(AE327-AO327,MAX(0,'Start Here'!$B$10-SUM($AJ327:$AS327)-SUMPRODUCT(($Z$3:$AI$3&lt;AE$3)*($Z327:$AI327-$AJ327:$AS327))))</f>
        <v>0</v>
      </c>
      <c r="L327" s="42" t="n">
        <f aca="false">AP327+MIN(AF327-AP327,MAX(0,'Start Here'!$B$10-SUM($AJ327:$AS327)-SUMPRODUCT(($Z$3:$AI$3&lt;AF$3)*($Z327:$AI327-$AJ327:$AS327))))</f>
        <v>0</v>
      </c>
      <c r="M327" s="42" t="n">
        <f aca="false">AQ327+MIN(AG327-AQ327,MAX(0,'Start Here'!$B$10-SUM($AJ327:$AS327)-SUMPRODUCT(($Z$3:$AI$3&lt;AG$3)*($Z327:$AI327-$AJ327:$AS327))))</f>
        <v>0</v>
      </c>
      <c r="N327" s="42" t="n">
        <f aca="false">AR327+MIN(AH327-AR327,MAX(0,'Start Here'!$B$10-SUM($AJ327:$AS327)-SUMPRODUCT(($Z$3:$AI$3&lt;AH$3)*($Z327:$AI327-$AJ327:$AS327))))</f>
        <v>0</v>
      </c>
      <c r="O327" s="42" t="n">
        <f aca="false">AS327+MIN(AI327-AS327,MAX(0,'Start Here'!$B$10-SUM($AJ327:$AS327)-SUMPRODUCT(($Z$3:$AI$3&lt;AI$3)*($Z327:$AI327-$AJ327:$AS327))))</f>
        <v>0</v>
      </c>
      <c r="P327" s="42" t="n">
        <f aca="false">ROUND(Z327-F327,2)</f>
        <v>0</v>
      </c>
      <c r="Q327" s="42" t="n">
        <f aca="false">ROUND(AA327-G327,2)</f>
        <v>0</v>
      </c>
      <c r="R327" s="42" t="n">
        <f aca="false">ROUND(AB327-H327,2)</f>
        <v>0</v>
      </c>
      <c r="S327" s="42" t="n">
        <f aca="false">ROUND(AC327-I327,2)</f>
        <v>0</v>
      </c>
      <c r="T327" s="42" t="n">
        <f aca="false">ROUND(AD327-J327,2)</f>
        <v>0</v>
      </c>
      <c r="U327" s="42" t="n">
        <f aca="false">ROUND(AE327-K327,2)</f>
        <v>0</v>
      </c>
      <c r="V327" s="42" t="n">
        <f aca="false">ROUND(AF327-L327,2)</f>
        <v>0</v>
      </c>
      <c r="W327" s="42" t="n">
        <f aca="false">ROUND(AG327-M327,2)</f>
        <v>0</v>
      </c>
      <c r="X327" s="42" t="n">
        <f aca="false">ROUND(AH327-N327,2)</f>
        <v>0</v>
      </c>
      <c r="Y327" s="42" t="n">
        <f aca="false">ROUND(AI327-O327,2)</f>
        <v>0</v>
      </c>
      <c r="Z327" s="56" t="n">
        <f aca="false">ROUND(P326*(1+N(Debts!$D$5)/12),2)</f>
        <v>0</v>
      </c>
      <c r="AA327" s="56" t="n">
        <f aca="false">ROUND(Q326*(1+N(Debts!$D$6)/12),2)</f>
        <v>0</v>
      </c>
      <c r="AB327" s="56" t="n">
        <f aca="false">ROUND(R326*(1+N(Debts!$D$7)/12),2)</f>
        <v>0</v>
      </c>
      <c r="AC327" s="56" t="n">
        <f aca="false">ROUND(S326*(1+N(Debts!$D$8)/12),2)</f>
        <v>0</v>
      </c>
      <c r="AD327" s="56" t="n">
        <f aca="false">ROUND(T326*(1+N(Debts!$D$9)/12),2)</f>
        <v>0</v>
      </c>
      <c r="AE327" s="56" t="n">
        <f aca="false">ROUND(U326*(1+N(Debts!$D$10)/12),2)</f>
        <v>0</v>
      </c>
      <c r="AF327" s="56" t="n">
        <f aca="false">ROUND(V326*(1+N(Debts!$D$11)/12),2)</f>
        <v>0</v>
      </c>
      <c r="AG327" s="56" t="n">
        <f aca="false">ROUND(W326*(1+N(Debts!$D$12)/12),2)</f>
        <v>0</v>
      </c>
      <c r="AH327" s="56" t="n">
        <f aca="false">ROUND(X326*(1+N(Debts!$D$13)/12),2)</f>
        <v>0</v>
      </c>
      <c r="AI327" s="56" t="n">
        <f aca="false">ROUND(Y326*(1+N(Debts!$D$14)/12),2)</f>
        <v>0</v>
      </c>
      <c r="AJ327" s="56" t="n">
        <f aca="false">MIN(Z327,MAX(0,N(Debts!$E$5)))</f>
        <v>0</v>
      </c>
      <c r="AK327" s="56" t="n">
        <f aca="false">MIN(AA327,MAX(0,N(Debts!$E$6)))</f>
        <v>0</v>
      </c>
      <c r="AL327" s="56" t="n">
        <f aca="false">MIN(AB327,MAX(0,N(Debts!$E$7)))</f>
        <v>0</v>
      </c>
      <c r="AM327" s="56" t="n">
        <f aca="false">MIN(AC327,MAX(0,N(Debts!$E$8)))</f>
        <v>0</v>
      </c>
      <c r="AN327" s="56" t="n">
        <f aca="false">MIN(AD327,MAX(0,N(Debts!$E$9)))</f>
        <v>0</v>
      </c>
      <c r="AO327" s="56" t="n">
        <f aca="false">MIN(AE327,MAX(0,N(Debts!$E$10)))</f>
        <v>0</v>
      </c>
      <c r="AP327" s="56" t="n">
        <f aca="false">MIN(AF327,MAX(0,N(Debts!$E$11)))</f>
        <v>0</v>
      </c>
      <c r="AQ327" s="56" t="n">
        <f aca="false">MIN(AG327,MAX(0,N(Debts!$E$12)))</f>
        <v>0</v>
      </c>
      <c r="AR327" s="56" t="n">
        <f aca="false">MIN(AH327,MAX(0,N(Debts!$E$13)))</f>
        <v>0</v>
      </c>
      <c r="AS327" s="56" t="n">
        <f aca="false">MIN(AI327,MAX(0,N(Debts!$E$14)))</f>
        <v>0</v>
      </c>
    </row>
    <row r="328" customFormat="false" ht="15" hidden="false" customHeight="false" outlineLevel="0" collapsed="false">
      <c r="A328" s="53" t="n">
        <v>324</v>
      </c>
      <c r="B328" s="54" t="n">
        <f aca="false">EDATE('Start Here'!$B$8,323)</f>
        <v>56158</v>
      </c>
      <c r="C328" s="42" t="n">
        <f aca="false">SUM(F328:O328)</f>
        <v>0</v>
      </c>
      <c r="D328" s="42" t="n">
        <f aca="false">ROUND(SUM($Z328:$AI328)-SUM(P327:Y327),2)</f>
        <v>0</v>
      </c>
      <c r="E328" s="55" t="n">
        <f aca="false">SUM(P328:Y328)</f>
        <v>0</v>
      </c>
      <c r="F328" s="42" t="n">
        <f aca="false">AJ328+MIN(Z328-AJ328,MAX(0,'Start Here'!$B$10-SUM($AJ328:$AS328)-SUMPRODUCT(($Z$3:$AI$3&lt;Z$3)*($Z328:$AI328-$AJ328:$AS328))))</f>
        <v>0</v>
      </c>
      <c r="G328" s="42" t="n">
        <f aca="false">AK328+MIN(AA328-AK328,MAX(0,'Start Here'!$B$10-SUM($AJ328:$AS328)-SUMPRODUCT(($Z$3:$AI$3&lt;AA$3)*($Z328:$AI328-$AJ328:$AS328))))</f>
        <v>0</v>
      </c>
      <c r="H328" s="42" t="n">
        <f aca="false">AL328+MIN(AB328-AL328,MAX(0,'Start Here'!$B$10-SUM($AJ328:$AS328)-SUMPRODUCT(($Z$3:$AI$3&lt;AB$3)*($Z328:$AI328-$AJ328:$AS328))))</f>
        <v>0</v>
      </c>
      <c r="I328" s="42" t="n">
        <f aca="false">AM328+MIN(AC328-AM328,MAX(0,'Start Here'!$B$10-SUM($AJ328:$AS328)-SUMPRODUCT(($Z$3:$AI$3&lt;AC$3)*($Z328:$AI328-$AJ328:$AS328))))</f>
        <v>0</v>
      </c>
      <c r="J328" s="42" t="n">
        <f aca="false">AN328+MIN(AD328-AN328,MAX(0,'Start Here'!$B$10-SUM($AJ328:$AS328)-SUMPRODUCT(($Z$3:$AI$3&lt;AD$3)*($Z328:$AI328-$AJ328:$AS328))))</f>
        <v>0</v>
      </c>
      <c r="K328" s="42" t="n">
        <f aca="false">AO328+MIN(AE328-AO328,MAX(0,'Start Here'!$B$10-SUM($AJ328:$AS328)-SUMPRODUCT(($Z$3:$AI$3&lt;AE$3)*($Z328:$AI328-$AJ328:$AS328))))</f>
        <v>0</v>
      </c>
      <c r="L328" s="42" t="n">
        <f aca="false">AP328+MIN(AF328-AP328,MAX(0,'Start Here'!$B$10-SUM($AJ328:$AS328)-SUMPRODUCT(($Z$3:$AI$3&lt;AF$3)*($Z328:$AI328-$AJ328:$AS328))))</f>
        <v>0</v>
      </c>
      <c r="M328" s="42" t="n">
        <f aca="false">AQ328+MIN(AG328-AQ328,MAX(0,'Start Here'!$B$10-SUM($AJ328:$AS328)-SUMPRODUCT(($Z$3:$AI$3&lt;AG$3)*($Z328:$AI328-$AJ328:$AS328))))</f>
        <v>0</v>
      </c>
      <c r="N328" s="42" t="n">
        <f aca="false">AR328+MIN(AH328-AR328,MAX(0,'Start Here'!$B$10-SUM($AJ328:$AS328)-SUMPRODUCT(($Z$3:$AI$3&lt;AH$3)*($Z328:$AI328-$AJ328:$AS328))))</f>
        <v>0</v>
      </c>
      <c r="O328" s="42" t="n">
        <f aca="false">AS328+MIN(AI328-AS328,MAX(0,'Start Here'!$B$10-SUM($AJ328:$AS328)-SUMPRODUCT(($Z$3:$AI$3&lt;AI$3)*($Z328:$AI328-$AJ328:$AS328))))</f>
        <v>0</v>
      </c>
      <c r="P328" s="42" t="n">
        <f aca="false">ROUND(Z328-F328,2)</f>
        <v>0</v>
      </c>
      <c r="Q328" s="42" t="n">
        <f aca="false">ROUND(AA328-G328,2)</f>
        <v>0</v>
      </c>
      <c r="R328" s="42" t="n">
        <f aca="false">ROUND(AB328-H328,2)</f>
        <v>0</v>
      </c>
      <c r="S328" s="42" t="n">
        <f aca="false">ROUND(AC328-I328,2)</f>
        <v>0</v>
      </c>
      <c r="T328" s="42" t="n">
        <f aca="false">ROUND(AD328-J328,2)</f>
        <v>0</v>
      </c>
      <c r="U328" s="42" t="n">
        <f aca="false">ROUND(AE328-K328,2)</f>
        <v>0</v>
      </c>
      <c r="V328" s="42" t="n">
        <f aca="false">ROUND(AF328-L328,2)</f>
        <v>0</v>
      </c>
      <c r="W328" s="42" t="n">
        <f aca="false">ROUND(AG328-M328,2)</f>
        <v>0</v>
      </c>
      <c r="X328" s="42" t="n">
        <f aca="false">ROUND(AH328-N328,2)</f>
        <v>0</v>
      </c>
      <c r="Y328" s="42" t="n">
        <f aca="false">ROUND(AI328-O328,2)</f>
        <v>0</v>
      </c>
      <c r="Z328" s="56" t="n">
        <f aca="false">ROUND(P327*(1+N(Debts!$D$5)/12),2)</f>
        <v>0</v>
      </c>
      <c r="AA328" s="56" t="n">
        <f aca="false">ROUND(Q327*(1+N(Debts!$D$6)/12),2)</f>
        <v>0</v>
      </c>
      <c r="AB328" s="56" t="n">
        <f aca="false">ROUND(R327*(1+N(Debts!$D$7)/12),2)</f>
        <v>0</v>
      </c>
      <c r="AC328" s="56" t="n">
        <f aca="false">ROUND(S327*(1+N(Debts!$D$8)/12),2)</f>
        <v>0</v>
      </c>
      <c r="AD328" s="56" t="n">
        <f aca="false">ROUND(T327*(1+N(Debts!$D$9)/12),2)</f>
        <v>0</v>
      </c>
      <c r="AE328" s="56" t="n">
        <f aca="false">ROUND(U327*(1+N(Debts!$D$10)/12),2)</f>
        <v>0</v>
      </c>
      <c r="AF328" s="56" t="n">
        <f aca="false">ROUND(V327*(1+N(Debts!$D$11)/12),2)</f>
        <v>0</v>
      </c>
      <c r="AG328" s="56" t="n">
        <f aca="false">ROUND(W327*(1+N(Debts!$D$12)/12),2)</f>
        <v>0</v>
      </c>
      <c r="AH328" s="56" t="n">
        <f aca="false">ROUND(X327*(1+N(Debts!$D$13)/12),2)</f>
        <v>0</v>
      </c>
      <c r="AI328" s="56" t="n">
        <f aca="false">ROUND(Y327*(1+N(Debts!$D$14)/12),2)</f>
        <v>0</v>
      </c>
      <c r="AJ328" s="56" t="n">
        <f aca="false">MIN(Z328,MAX(0,N(Debts!$E$5)))</f>
        <v>0</v>
      </c>
      <c r="AK328" s="56" t="n">
        <f aca="false">MIN(AA328,MAX(0,N(Debts!$E$6)))</f>
        <v>0</v>
      </c>
      <c r="AL328" s="56" t="n">
        <f aca="false">MIN(AB328,MAX(0,N(Debts!$E$7)))</f>
        <v>0</v>
      </c>
      <c r="AM328" s="56" t="n">
        <f aca="false">MIN(AC328,MAX(0,N(Debts!$E$8)))</f>
        <v>0</v>
      </c>
      <c r="AN328" s="56" t="n">
        <f aca="false">MIN(AD328,MAX(0,N(Debts!$E$9)))</f>
        <v>0</v>
      </c>
      <c r="AO328" s="56" t="n">
        <f aca="false">MIN(AE328,MAX(0,N(Debts!$E$10)))</f>
        <v>0</v>
      </c>
      <c r="AP328" s="56" t="n">
        <f aca="false">MIN(AF328,MAX(0,N(Debts!$E$11)))</f>
        <v>0</v>
      </c>
      <c r="AQ328" s="56" t="n">
        <f aca="false">MIN(AG328,MAX(0,N(Debts!$E$12)))</f>
        <v>0</v>
      </c>
      <c r="AR328" s="56" t="n">
        <f aca="false">MIN(AH328,MAX(0,N(Debts!$E$13)))</f>
        <v>0</v>
      </c>
      <c r="AS328" s="56" t="n">
        <f aca="false">MIN(AI328,MAX(0,N(Debts!$E$14)))</f>
        <v>0</v>
      </c>
    </row>
    <row r="329" customFormat="false" ht="15" hidden="false" customHeight="false" outlineLevel="0" collapsed="false">
      <c r="A329" s="53" t="n">
        <v>325</v>
      </c>
      <c r="B329" s="54" t="n">
        <f aca="false">EDATE('Start Here'!$B$8,324)</f>
        <v>56189</v>
      </c>
      <c r="C329" s="42" t="n">
        <f aca="false">SUM(F329:O329)</f>
        <v>0</v>
      </c>
      <c r="D329" s="42" t="n">
        <f aca="false">ROUND(SUM($Z329:$AI329)-SUM(P328:Y328),2)</f>
        <v>0</v>
      </c>
      <c r="E329" s="55" t="n">
        <f aca="false">SUM(P329:Y329)</f>
        <v>0</v>
      </c>
      <c r="F329" s="42" t="n">
        <f aca="false">AJ329+MIN(Z329-AJ329,MAX(0,'Start Here'!$B$10-SUM($AJ329:$AS329)-SUMPRODUCT(($Z$3:$AI$3&lt;Z$3)*($Z329:$AI329-$AJ329:$AS329))))</f>
        <v>0</v>
      </c>
      <c r="G329" s="42" t="n">
        <f aca="false">AK329+MIN(AA329-AK329,MAX(0,'Start Here'!$B$10-SUM($AJ329:$AS329)-SUMPRODUCT(($Z$3:$AI$3&lt;AA$3)*($Z329:$AI329-$AJ329:$AS329))))</f>
        <v>0</v>
      </c>
      <c r="H329" s="42" t="n">
        <f aca="false">AL329+MIN(AB329-AL329,MAX(0,'Start Here'!$B$10-SUM($AJ329:$AS329)-SUMPRODUCT(($Z$3:$AI$3&lt;AB$3)*($Z329:$AI329-$AJ329:$AS329))))</f>
        <v>0</v>
      </c>
      <c r="I329" s="42" t="n">
        <f aca="false">AM329+MIN(AC329-AM329,MAX(0,'Start Here'!$B$10-SUM($AJ329:$AS329)-SUMPRODUCT(($Z$3:$AI$3&lt;AC$3)*($Z329:$AI329-$AJ329:$AS329))))</f>
        <v>0</v>
      </c>
      <c r="J329" s="42" t="n">
        <f aca="false">AN329+MIN(AD329-AN329,MAX(0,'Start Here'!$B$10-SUM($AJ329:$AS329)-SUMPRODUCT(($Z$3:$AI$3&lt;AD$3)*($Z329:$AI329-$AJ329:$AS329))))</f>
        <v>0</v>
      </c>
      <c r="K329" s="42" t="n">
        <f aca="false">AO329+MIN(AE329-AO329,MAX(0,'Start Here'!$B$10-SUM($AJ329:$AS329)-SUMPRODUCT(($Z$3:$AI$3&lt;AE$3)*($Z329:$AI329-$AJ329:$AS329))))</f>
        <v>0</v>
      </c>
      <c r="L329" s="42" t="n">
        <f aca="false">AP329+MIN(AF329-AP329,MAX(0,'Start Here'!$B$10-SUM($AJ329:$AS329)-SUMPRODUCT(($Z$3:$AI$3&lt;AF$3)*($Z329:$AI329-$AJ329:$AS329))))</f>
        <v>0</v>
      </c>
      <c r="M329" s="42" t="n">
        <f aca="false">AQ329+MIN(AG329-AQ329,MAX(0,'Start Here'!$B$10-SUM($AJ329:$AS329)-SUMPRODUCT(($Z$3:$AI$3&lt;AG$3)*($Z329:$AI329-$AJ329:$AS329))))</f>
        <v>0</v>
      </c>
      <c r="N329" s="42" t="n">
        <f aca="false">AR329+MIN(AH329-AR329,MAX(0,'Start Here'!$B$10-SUM($AJ329:$AS329)-SUMPRODUCT(($Z$3:$AI$3&lt;AH$3)*($Z329:$AI329-$AJ329:$AS329))))</f>
        <v>0</v>
      </c>
      <c r="O329" s="42" t="n">
        <f aca="false">AS329+MIN(AI329-AS329,MAX(0,'Start Here'!$B$10-SUM($AJ329:$AS329)-SUMPRODUCT(($Z$3:$AI$3&lt;AI$3)*($Z329:$AI329-$AJ329:$AS329))))</f>
        <v>0</v>
      </c>
      <c r="P329" s="42" t="n">
        <f aca="false">ROUND(Z329-F329,2)</f>
        <v>0</v>
      </c>
      <c r="Q329" s="42" t="n">
        <f aca="false">ROUND(AA329-G329,2)</f>
        <v>0</v>
      </c>
      <c r="R329" s="42" t="n">
        <f aca="false">ROUND(AB329-H329,2)</f>
        <v>0</v>
      </c>
      <c r="S329" s="42" t="n">
        <f aca="false">ROUND(AC329-I329,2)</f>
        <v>0</v>
      </c>
      <c r="T329" s="42" t="n">
        <f aca="false">ROUND(AD329-J329,2)</f>
        <v>0</v>
      </c>
      <c r="U329" s="42" t="n">
        <f aca="false">ROUND(AE329-K329,2)</f>
        <v>0</v>
      </c>
      <c r="V329" s="42" t="n">
        <f aca="false">ROUND(AF329-L329,2)</f>
        <v>0</v>
      </c>
      <c r="W329" s="42" t="n">
        <f aca="false">ROUND(AG329-M329,2)</f>
        <v>0</v>
      </c>
      <c r="X329" s="42" t="n">
        <f aca="false">ROUND(AH329-N329,2)</f>
        <v>0</v>
      </c>
      <c r="Y329" s="42" t="n">
        <f aca="false">ROUND(AI329-O329,2)</f>
        <v>0</v>
      </c>
      <c r="Z329" s="56" t="n">
        <f aca="false">ROUND(P328*(1+N(Debts!$D$5)/12),2)</f>
        <v>0</v>
      </c>
      <c r="AA329" s="56" t="n">
        <f aca="false">ROUND(Q328*(1+N(Debts!$D$6)/12),2)</f>
        <v>0</v>
      </c>
      <c r="AB329" s="56" t="n">
        <f aca="false">ROUND(R328*(1+N(Debts!$D$7)/12),2)</f>
        <v>0</v>
      </c>
      <c r="AC329" s="56" t="n">
        <f aca="false">ROUND(S328*(1+N(Debts!$D$8)/12),2)</f>
        <v>0</v>
      </c>
      <c r="AD329" s="56" t="n">
        <f aca="false">ROUND(T328*(1+N(Debts!$D$9)/12),2)</f>
        <v>0</v>
      </c>
      <c r="AE329" s="56" t="n">
        <f aca="false">ROUND(U328*(1+N(Debts!$D$10)/12),2)</f>
        <v>0</v>
      </c>
      <c r="AF329" s="56" t="n">
        <f aca="false">ROUND(V328*(1+N(Debts!$D$11)/12),2)</f>
        <v>0</v>
      </c>
      <c r="AG329" s="56" t="n">
        <f aca="false">ROUND(W328*(1+N(Debts!$D$12)/12),2)</f>
        <v>0</v>
      </c>
      <c r="AH329" s="56" t="n">
        <f aca="false">ROUND(X328*(1+N(Debts!$D$13)/12),2)</f>
        <v>0</v>
      </c>
      <c r="AI329" s="56" t="n">
        <f aca="false">ROUND(Y328*(1+N(Debts!$D$14)/12),2)</f>
        <v>0</v>
      </c>
      <c r="AJ329" s="56" t="n">
        <f aca="false">MIN(Z329,MAX(0,N(Debts!$E$5)))</f>
        <v>0</v>
      </c>
      <c r="AK329" s="56" t="n">
        <f aca="false">MIN(AA329,MAX(0,N(Debts!$E$6)))</f>
        <v>0</v>
      </c>
      <c r="AL329" s="56" t="n">
        <f aca="false">MIN(AB329,MAX(0,N(Debts!$E$7)))</f>
        <v>0</v>
      </c>
      <c r="AM329" s="56" t="n">
        <f aca="false">MIN(AC329,MAX(0,N(Debts!$E$8)))</f>
        <v>0</v>
      </c>
      <c r="AN329" s="56" t="n">
        <f aca="false">MIN(AD329,MAX(0,N(Debts!$E$9)))</f>
        <v>0</v>
      </c>
      <c r="AO329" s="56" t="n">
        <f aca="false">MIN(AE329,MAX(0,N(Debts!$E$10)))</f>
        <v>0</v>
      </c>
      <c r="AP329" s="56" t="n">
        <f aca="false">MIN(AF329,MAX(0,N(Debts!$E$11)))</f>
        <v>0</v>
      </c>
      <c r="AQ329" s="56" t="n">
        <f aca="false">MIN(AG329,MAX(0,N(Debts!$E$12)))</f>
        <v>0</v>
      </c>
      <c r="AR329" s="56" t="n">
        <f aca="false">MIN(AH329,MAX(0,N(Debts!$E$13)))</f>
        <v>0</v>
      </c>
      <c r="AS329" s="56" t="n">
        <f aca="false">MIN(AI329,MAX(0,N(Debts!$E$14)))</f>
        <v>0</v>
      </c>
    </row>
    <row r="330" customFormat="false" ht="15" hidden="false" customHeight="false" outlineLevel="0" collapsed="false">
      <c r="A330" s="53" t="n">
        <v>326</v>
      </c>
      <c r="B330" s="54" t="n">
        <f aca="false">EDATE('Start Here'!$B$8,325)</f>
        <v>56219</v>
      </c>
      <c r="C330" s="42" t="n">
        <f aca="false">SUM(F330:O330)</f>
        <v>0</v>
      </c>
      <c r="D330" s="42" t="n">
        <f aca="false">ROUND(SUM($Z330:$AI330)-SUM(P329:Y329),2)</f>
        <v>0</v>
      </c>
      <c r="E330" s="55" t="n">
        <f aca="false">SUM(P330:Y330)</f>
        <v>0</v>
      </c>
      <c r="F330" s="42" t="n">
        <f aca="false">AJ330+MIN(Z330-AJ330,MAX(0,'Start Here'!$B$10-SUM($AJ330:$AS330)-SUMPRODUCT(($Z$3:$AI$3&lt;Z$3)*($Z330:$AI330-$AJ330:$AS330))))</f>
        <v>0</v>
      </c>
      <c r="G330" s="42" t="n">
        <f aca="false">AK330+MIN(AA330-AK330,MAX(0,'Start Here'!$B$10-SUM($AJ330:$AS330)-SUMPRODUCT(($Z$3:$AI$3&lt;AA$3)*($Z330:$AI330-$AJ330:$AS330))))</f>
        <v>0</v>
      </c>
      <c r="H330" s="42" t="n">
        <f aca="false">AL330+MIN(AB330-AL330,MAX(0,'Start Here'!$B$10-SUM($AJ330:$AS330)-SUMPRODUCT(($Z$3:$AI$3&lt;AB$3)*($Z330:$AI330-$AJ330:$AS330))))</f>
        <v>0</v>
      </c>
      <c r="I330" s="42" t="n">
        <f aca="false">AM330+MIN(AC330-AM330,MAX(0,'Start Here'!$B$10-SUM($AJ330:$AS330)-SUMPRODUCT(($Z$3:$AI$3&lt;AC$3)*($Z330:$AI330-$AJ330:$AS330))))</f>
        <v>0</v>
      </c>
      <c r="J330" s="42" t="n">
        <f aca="false">AN330+MIN(AD330-AN330,MAX(0,'Start Here'!$B$10-SUM($AJ330:$AS330)-SUMPRODUCT(($Z$3:$AI$3&lt;AD$3)*($Z330:$AI330-$AJ330:$AS330))))</f>
        <v>0</v>
      </c>
      <c r="K330" s="42" t="n">
        <f aca="false">AO330+MIN(AE330-AO330,MAX(0,'Start Here'!$B$10-SUM($AJ330:$AS330)-SUMPRODUCT(($Z$3:$AI$3&lt;AE$3)*($Z330:$AI330-$AJ330:$AS330))))</f>
        <v>0</v>
      </c>
      <c r="L330" s="42" t="n">
        <f aca="false">AP330+MIN(AF330-AP330,MAX(0,'Start Here'!$B$10-SUM($AJ330:$AS330)-SUMPRODUCT(($Z$3:$AI$3&lt;AF$3)*($Z330:$AI330-$AJ330:$AS330))))</f>
        <v>0</v>
      </c>
      <c r="M330" s="42" t="n">
        <f aca="false">AQ330+MIN(AG330-AQ330,MAX(0,'Start Here'!$B$10-SUM($AJ330:$AS330)-SUMPRODUCT(($Z$3:$AI$3&lt;AG$3)*($Z330:$AI330-$AJ330:$AS330))))</f>
        <v>0</v>
      </c>
      <c r="N330" s="42" t="n">
        <f aca="false">AR330+MIN(AH330-AR330,MAX(0,'Start Here'!$B$10-SUM($AJ330:$AS330)-SUMPRODUCT(($Z$3:$AI$3&lt;AH$3)*($Z330:$AI330-$AJ330:$AS330))))</f>
        <v>0</v>
      </c>
      <c r="O330" s="42" t="n">
        <f aca="false">AS330+MIN(AI330-AS330,MAX(0,'Start Here'!$B$10-SUM($AJ330:$AS330)-SUMPRODUCT(($Z$3:$AI$3&lt;AI$3)*($Z330:$AI330-$AJ330:$AS330))))</f>
        <v>0</v>
      </c>
      <c r="P330" s="42" t="n">
        <f aca="false">ROUND(Z330-F330,2)</f>
        <v>0</v>
      </c>
      <c r="Q330" s="42" t="n">
        <f aca="false">ROUND(AA330-G330,2)</f>
        <v>0</v>
      </c>
      <c r="R330" s="42" t="n">
        <f aca="false">ROUND(AB330-H330,2)</f>
        <v>0</v>
      </c>
      <c r="S330" s="42" t="n">
        <f aca="false">ROUND(AC330-I330,2)</f>
        <v>0</v>
      </c>
      <c r="T330" s="42" t="n">
        <f aca="false">ROUND(AD330-J330,2)</f>
        <v>0</v>
      </c>
      <c r="U330" s="42" t="n">
        <f aca="false">ROUND(AE330-K330,2)</f>
        <v>0</v>
      </c>
      <c r="V330" s="42" t="n">
        <f aca="false">ROUND(AF330-L330,2)</f>
        <v>0</v>
      </c>
      <c r="W330" s="42" t="n">
        <f aca="false">ROUND(AG330-M330,2)</f>
        <v>0</v>
      </c>
      <c r="X330" s="42" t="n">
        <f aca="false">ROUND(AH330-N330,2)</f>
        <v>0</v>
      </c>
      <c r="Y330" s="42" t="n">
        <f aca="false">ROUND(AI330-O330,2)</f>
        <v>0</v>
      </c>
      <c r="Z330" s="56" t="n">
        <f aca="false">ROUND(P329*(1+N(Debts!$D$5)/12),2)</f>
        <v>0</v>
      </c>
      <c r="AA330" s="56" t="n">
        <f aca="false">ROUND(Q329*(1+N(Debts!$D$6)/12),2)</f>
        <v>0</v>
      </c>
      <c r="AB330" s="56" t="n">
        <f aca="false">ROUND(R329*(1+N(Debts!$D$7)/12),2)</f>
        <v>0</v>
      </c>
      <c r="AC330" s="56" t="n">
        <f aca="false">ROUND(S329*(1+N(Debts!$D$8)/12),2)</f>
        <v>0</v>
      </c>
      <c r="AD330" s="56" t="n">
        <f aca="false">ROUND(T329*(1+N(Debts!$D$9)/12),2)</f>
        <v>0</v>
      </c>
      <c r="AE330" s="56" t="n">
        <f aca="false">ROUND(U329*(1+N(Debts!$D$10)/12),2)</f>
        <v>0</v>
      </c>
      <c r="AF330" s="56" t="n">
        <f aca="false">ROUND(V329*(1+N(Debts!$D$11)/12),2)</f>
        <v>0</v>
      </c>
      <c r="AG330" s="56" t="n">
        <f aca="false">ROUND(W329*(1+N(Debts!$D$12)/12),2)</f>
        <v>0</v>
      </c>
      <c r="AH330" s="56" t="n">
        <f aca="false">ROUND(X329*(1+N(Debts!$D$13)/12),2)</f>
        <v>0</v>
      </c>
      <c r="AI330" s="56" t="n">
        <f aca="false">ROUND(Y329*(1+N(Debts!$D$14)/12),2)</f>
        <v>0</v>
      </c>
      <c r="AJ330" s="56" t="n">
        <f aca="false">MIN(Z330,MAX(0,N(Debts!$E$5)))</f>
        <v>0</v>
      </c>
      <c r="AK330" s="56" t="n">
        <f aca="false">MIN(AA330,MAX(0,N(Debts!$E$6)))</f>
        <v>0</v>
      </c>
      <c r="AL330" s="56" t="n">
        <f aca="false">MIN(AB330,MAX(0,N(Debts!$E$7)))</f>
        <v>0</v>
      </c>
      <c r="AM330" s="56" t="n">
        <f aca="false">MIN(AC330,MAX(0,N(Debts!$E$8)))</f>
        <v>0</v>
      </c>
      <c r="AN330" s="56" t="n">
        <f aca="false">MIN(AD330,MAX(0,N(Debts!$E$9)))</f>
        <v>0</v>
      </c>
      <c r="AO330" s="56" t="n">
        <f aca="false">MIN(AE330,MAX(0,N(Debts!$E$10)))</f>
        <v>0</v>
      </c>
      <c r="AP330" s="56" t="n">
        <f aca="false">MIN(AF330,MAX(0,N(Debts!$E$11)))</f>
        <v>0</v>
      </c>
      <c r="AQ330" s="56" t="n">
        <f aca="false">MIN(AG330,MAX(0,N(Debts!$E$12)))</f>
        <v>0</v>
      </c>
      <c r="AR330" s="56" t="n">
        <f aca="false">MIN(AH330,MAX(0,N(Debts!$E$13)))</f>
        <v>0</v>
      </c>
      <c r="AS330" s="56" t="n">
        <f aca="false">MIN(AI330,MAX(0,N(Debts!$E$14)))</f>
        <v>0</v>
      </c>
    </row>
    <row r="331" customFormat="false" ht="15" hidden="false" customHeight="false" outlineLevel="0" collapsed="false">
      <c r="A331" s="53" t="n">
        <v>327</v>
      </c>
      <c r="B331" s="54" t="n">
        <f aca="false">EDATE('Start Here'!$B$8,326)</f>
        <v>56250</v>
      </c>
      <c r="C331" s="42" t="n">
        <f aca="false">SUM(F331:O331)</f>
        <v>0</v>
      </c>
      <c r="D331" s="42" t="n">
        <f aca="false">ROUND(SUM($Z331:$AI331)-SUM(P330:Y330),2)</f>
        <v>0</v>
      </c>
      <c r="E331" s="55" t="n">
        <f aca="false">SUM(P331:Y331)</f>
        <v>0</v>
      </c>
      <c r="F331" s="42" t="n">
        <f aca="false">AJ331+MIN(Z331-AJ331,MAX(0,'Start Here'!$B$10-SUM($AJ331:$AS331)-SUMPRODUCT(($Z$3:$AI$3&lt;Z$3)*($Z331:$AI331-$AJ331:$AS331))))</f>
        <v>0</v>
      </c>
      <c r="G331" s="42" t="n">
        <f aca="false">AK331+MIN(AA331-AK331,MAX(0,'Start Here'!$B$10-SUM($AJ331:$AS331)-SUMPRODUCT(($Z$3:$AI$3&lt;AA$3)*($Z331:$AI331-$AJ331:$AS331))))</f>
        <v>0</v>
      </c>
      <c r="H331" s="42" t="n">
        <f aca="false">AL331+MIN(AB331-AL331,MAX(0,'Start Here'!$B$10-SUM($AJ331:$AS331)-SUMPRODUCT(($Z$3:$AI$3&lt;AB$3)*($Z331:$AI331-$AJ331:$AS331))))</f>
        <v>0</v>
      </c>
      <c r="I331" s="42" t="n">
        <f aca="false">AM331+MIN(AC331-AM331,MAX(0,'Start Here'!$B$10-SUM($AJ331:$AS331)-SUMPRODUCT(($Z$3:$AI$3&lt;AC$3)*($Z331:$AI331-$AJ331:$AS331))))</f>
        <v>0</v>
      </c>
      <c r="J331" s="42" t="n">
        <f aca="false">AN331+MIN(AD331-AN331,MAX(0,'Start Here'!$B$10-SUM($AJ331:$AS331)-SUMPRODUCT(($Z$3:$AI$3&lt;AD$3)*($Z331:$AI331-$AJ331:$AS331))))</f>
        <v>0</v>
      </c>
      <c r="K331" s="42" t="n">
        <f aca="false">AO331+MIN(AE331-AO331,MAX(0,'Start Here'!$B$10-SUM($AJ331:$AS331)-SUMPRODUCT(($Z$3:$AI$3&lt;AE$3)*($Z331:$AI331-$AJ331:$AS331))))</f>
        <v>0</v>
      </c>
      <c r="L331" s="42" t="n">
        <f aca="false">AP331+MIN(AF331-AP331,MAX(0,'Start Here'!$B$10-SUM($AJ331:$AS331)-SUMPRODUCT(($Z$3:$AI$3&lt;AF$3)*($Z331:$AI331-$AJ331:$AS331))))</f>
        <v>0</v>
      </c>
      <c r="M331" s="42" t="n">
        <f aca="false">AQ331+MIN(AG331-AQ331,MAX(0,'Start Here'!$B$10-SUM($AJ331:$AS331)-SUMPRODUCT(($Z$3:$AI$3&lt;AG$3)*($Z331:$AI331-$AJ331:$AS331))))</f>
        <v>0</v>
      </c>
      <c r="N331" s="42" t="n">
        <f aca="false">AR331+MIN(AH331-AR331,MAX(0,'Start Here'!$B$10-SUM($AJ331:$AS331)-SUMPRODUCT(($Z$3:$AI$3&lt;AH$3)*($Z331:$AI331-$AJ331:$AS331))))</f>
        <v>0</v>
      </c>
      <c r="O331" s="42" t="n">
        <f aca="false">AS331+MIN(AI331-AS331,MAX(0,'Start Here'!$B$10-SUM($AJ331:$AS331)-SUMPRODUCT(($Z$3:$AI$3&lt;AI$3)*($Z331:$AI331-$AJ331:$AS331))))</f>
        <v>0</v>
      </c>
      <c r="P331" s="42" t="n">
        <f aca="false">ROUND(Z331-F331,2)</f>
        <v>0</v>
      </c>
      <c r="Q331" s="42" t="n">
        <f aca="false">ROUND(AA331-G331,2)</f>
        <v>0</v>
      </c>
      <c r="R331" s="42" t="n">
        <f aca="false">ROUND(AB331-H331,2)</f>
        <v>0</v>
      </c>
      <c r="S331" s="42" t="n">
        <f aca="false">ROUND(AC331-I331,2)</f>
        <v>0</v>
      </c>
      <c r="T331" s="42" t="n">
        <f aca="false">ROUND(AD331-J331,2)</f>
        <v>0</v>
      </c>
      <c r="U331" s="42" t="n">
        <f aca="false">ROUND(AE331-K331,2)</f>
        <v>0</v>
      </c>
      <c r="V331" s="42" t="n">
        <f aca="false">ROUND(AF331-L331,2)</f>
        <v>0</v>
      </c>
      <c r="W331" s="42" t="n">
        <f aca="false">ROUND(AG331-M331,2)</f>
        <v>0</v>
      </c>
      <c r="X331" s="42" t="n">
        <f aca="false">ROUND(AH331-N331,2)</f>
        <v>0</v>
      </c>
      <c r="Y331" s="42" t="n">
        <f aca="false">ROUND(AI331-O331,2)</f>
        <v>0</v>
      </c>
      <c r="Z331" s="56" t="n">
        <f aca="false">ROUND(P330*(1+N(Debts!$D$5)/12),2)</f>
        <v>0</v>
      </c>
      <c r="AA331" s="56" t="n">
        <f aca="false">ROUND(Q330*(1+N(Debts!$D$6)/12),2)</f>
        <v>0</v>
      </c>
      <c r="AB331" s="56" t="n">
        <f aca="false">ROUND(R330*(1+N(Debts!$D$7)/12),2)</f>
        <v>0</v>
      </c>
      <c r="AC331" s="56" t="n">
        <f aca="false">ROUND(S330*(1+N(Debts!$D$8)/12),2)</f>
        <v>0</v>
      </c>
      <c r="AD331" s="56" t="n">
        <f aca="false">ROUND(T330*(1+N(Debts!$D$9)/12),2)</f>
        <v>0</v>
      </c>
      <c r="AE331" s="56" t="n">
        <f aca="false">ROUND(U330*(1+N(Debts!$D$10)/12),2)</f>
        <v>0</v>
      </c>
      <c r="AF331" s="56" t="n">
        <f aca="false">ROUND(V330*(1+N(Debts!$D$11)/12),2)</f>
        <v>0</v>
      </c>
      <c r="AG331" s="56" t="n">
        <f aca="false">ROUND(W330*(1+N(Debts!$D$12)/12),2)</f>
        <v>0</v>
      </c>
      <c r="AH331" s="56" t="n">
        <f aca="false">ROUND(X330*(1+N(Debts!$D$13)/12),2)</f>
        <v>0</v>
      </c>
      <c r="AI331" s="56" t="n">
        <f aca="false">ROUND(Y330*(1+N(Debts!$D$14)/12),2)</f>
        <v>0</v>
      </c>
      <c r="AJ331" s="56" t="n">
        <f aca="false">MIN(Z331,MAX(0,N(Debts!$E$5)))</f>
        <v>0</v>
      </c>
      <c r="AK331" s="56" t="n">
        <f aca="false">MIN(AA331,MAX(0,N(Debts!$E$6)))</f>
        <v>0</v>
      </c>
      <c r="AL331" s="56" t="n">
        <f aca="false">MIN(AB331,MAX(0,N(Debts!$E$7)))</f>
        <v>0</v>
      </c>
      <c r="AM331" s="56" t="n">
        <f aca="false">MIN(AC331,MAX(0,N(Debts!$E$8)))</f>
        <v>0</v>
      </c>
      <c r="AN331" s="56" t="n">
        <f aca="false">MIN(AD331,MAX(0,N(Debts!$E$9)))</f>
        <v>0</v>
      </c>
      <c r="AO331" s="56" t="n">
        <f aca="false">MIN(AE331,MAX(0,N(Debts!$E$10)))</f>
        <v>0</v>
      </c>
      <c r="AP331" s="56" t="n">
        <f aca="false">MIN(AF331,MAX(0,N(Debts!$E$11)))</f>
        <v>0</v>
      </c>
      <c r="AQ331" s="56" t="n">
        <f aca="false">MIN(AG331,MAX(0,N(Debts!$E$12)))</f>
        <v>0</v>
      </c>
      <c r="AR331" s="56" t="n">
        <f aca="false">MIN(AH331,MAX(0,N(Debts!$E$13)))</f>
        <v>0</v>
      </c>
      <c r="AS331" s="56" t="n">
        <f aca="false">MIN(AI331,MAX(0,N(Debts!$E$14)))</f>
        <v>0</v>
      </c>
    </row>
    <row r="332" customFormat="false" ht="15" hidden="false" customHeight="false" outlineLevel="0" collapsed="false">
      <c r="A332" s="53" t="n">
        <v>328</v>
      </c>
      <c r="B332" s="54" t="n">
        <f aca="false">EDATE('Start Here'!$B$8,327)</f>
        <v>56281</v>
      </c>
      <c r="C332" s="42" t="n">
        <f aca="false">SUM(F332:O332)</f>
        <v>0</v>
      </c>
      <c r="D332" s="42" t="n">
        <f aca="false">ROUND(SUM($Z332:$AI332)-SUM(P331:Y331),2)</f>
        <v>0</v>
      </c>
      <c r="E332" s="55" t="n">
        <f aca="false">SUM(P332:Y332)</f>
        <v>0</v>
      </c>
      <c r="F332" s="42" t="n">
        <f aca="false">AJ332+MIN(Z332-AJ332,MAX(0,'Start Here'!$B$10-SUM($AJ332:$AS332)-SUMPRODUCT(($Z$3:$AI$3&lt;Z$3)*($Z332:$AI332-$AJ332:$AS332))))</f>
        <v>0</v>
      </c>
      <c r="G332" s="42" t="n">
        <f aca="false">AK332+MIN(AA332-AK332,MAX(0,'Start Here'!$B$10-SUM($AJ332:$AS332)-SUMPRODUCT(($Z$3:$AI$3&lt;AA$3)*($Z332:$AI332-$AJ332:$AS332))))</f>
        <v>0</v>
      </c>
      <c r="H332" s="42" t="n">
        <f aca="false">AL332+MIN(AB332-AL332,MAX(0,'Start Here'!$B$10-SUM($AJ332:$AS332)-SUMPRODUCT(($Z$3:$AI$3&lt;AB$3)*($Z332:$AI332-$AJ332:$AS332))))</f>
        <v>0</v>
      </c>
      <c r="I332" s="42" t="n">
        <f aca="false">AM332+MIN(AC332-AM332,MAX(0,'Start Here'!$B$10-SUM($AJ332:$AS332)-SUMPRODUCT(($Z$3:$AI$3&lt;AC$3)*($Z332:$AI332-$AJ332:$AS332))))</f>
        <v>0</v>
      </c>
      <c r="J332" s="42" t="n">
        <f aca="false">AN332+MIN(AD332-AN332,MAX(0,'Start Here'!$B$10-SUM($AJ332:$AS332)-SUMPRODUCT(($Z$3:$AI$3&lt;AD$3)*($Z332:$AI332-$AJ332:$AS332))))</f>
        <v>0</v>
      </c>
      <c r="K332" s="42" t="n">
        <f aca="false">AO332+MIN(AE332-AO332,MAX(0,'Start Here'!$B$10-SUM($AJ332:$AS332)-SUMPRODUCT(($Z$3:$AI$3&lt;AE$3)*($Z332:$AI332-$AJ332:$AS332))))</f>
        <v>0</v>
      </c>
      <c r="L332" s="42" t="n">
        <f aca="false">AP332+MIN(AF332-AP332,MAX(0,'Start Here'!$B$10-SUM($AJ332:$AS332)-SUMPRODUCT(($Z$3:$AI$3&lt;AF$3)*($Z332:$AI332-$AJ332:$AS332))))</f>
        <v>0</v>
      </c>
      <c r="M332" s="42" t="n">
        <f aca="false">AQ332+MIN(AG332-AQ332,MAX(0,'Start Here'!$B$10-SUM($AJ332:$AS332)-SUMPRODUCT(($Z$3:$AI$3&lt;AG$3)*($Z332:$AI332-$AJ332:$AS332))))</f>
        <v>0</v>
      </c>
      <c r="N332" s="42" t="n">
        <f aca="false">AR332+MIN(AH332-AR332,MAX(0,'Start Here'!$B$10-SUM($AJ332:$AS332)-SUMPRODUCT(($Z$3:$AI$3&lt;AH$3)*($Z332:$AI332-$AJ332:$AS332))))</f>
        <v>0</v>
      </c>
      <c r="O332" s="42" t="n">
        <f aca="false">AS332+MIN(AI332-AS332,MAX(0,'Start Here'!$B$10-SUM($AJ332:$AS332)-SUMPRODUCT(($Z$3:$AI$3&lt;AI$3)*($Z332:$AI332-$AJ332:$AS332))))</f>
        <v>0</v>
      </c>
      <c r="P332" s="42" t="n">
        <f aca="false">ROUND(Z332-F332,2)</f>
        <v>0</v>
      </c>
      <c r="Q332" s="42" t="n">
        <f aca="false">ROUND(AA332-G332,2)</f>
        <v>0</v>
      </c>
      <c r="R332" s="42" t="n">
        <f aca="false">ROUND(AB332-H332,2)</f>
        <v>0</v>
      </c>
      <c r="S332" s="42" t="n">
        <f aca="false">ROUND(AC332-I332,2)</f>
        <v>0</v>
      </c>
      <c r="T332" s="42" t="n">
        <f aca="false">ROUND(AD332-J332,2)</f>
        <v>0</v>
      </c>
      <c r="U332" s="42" t="n">
        <f aca="false">ROUND(AE332-K332,2)</f>
        <v>0</v>
      </c>
      <c r="V332" s="42" t="n">
        <f aca="false">ROUND(AF332-L332,2)</f>
        <v>0</v>
      </c>
      <c r="W332" s="42" t="n">
        <f aca="false">ROUND(AG332-M332,2)</f>
        <v>0</v>
      </c>
      <c r="X332" s="42" t="n">
        <f aca="false">ROUND(AH332-N332,2)</f>
        <v>0</v>
      </c>
      <c r="Y332" s="42" t="n">
        <f aca="false">ROUND(AI332-O332,2)</f>
        <v>0</v>
      </c>
      <c r="Z332" s="56" t="n">
        <f aca="false">ROUND(P331*(1+N(Debts!$D$5)/12),2)</f>
        <v>0</v>
      </c>
      <c r="AA332" s="56" t="n">
        <f aca="false">ROUND(Q331*(1+N(Debts!$D$6)/12),2)</f>
        <v>0</v>
      </c>
      <c r="AB332" s="56" t="n">
        <f aca="false">ROUND(R331*(1+N(Debts!$D$7)/12),2)</f>
        <v>0</v>
      </c>
      <c r="AC332" s="56" t="n">
        <f aca="false">ROUND(S331*(1+N(Debts!$D$8)/12),2)</f>
        <v>0</v>
      </c>
      <c r="AD332" s="56" t="n">
        <f aca="false">ROUND(T331*(1+N(Debts!$D$9)/12),2)</f>
        <v>0</v>
      </c>
      <c r="AE332" s="56" t="n">
        <f aca="false">ROUND(U331*(1+N(Debts!$D$10)/12),2)</f>
        <v>0</v>
      </c>
      <c r="AF332" s="56" t="n">
        <f aca="false">ROUND(V331*(1+N(Debts!$D$11)/12),2)</f>
        <v>0</v>
      </c>
      <c r="AG332" s="56" t="n">
        <f aca="false">ROUND(W331*(1+N(Debts!$D$12)/12),2)</f>
        <v>0</v>
      </c>
      <c r="AH332" s="56" t="n">
        <f aca="false">ROUND(X331*(1+N(Debts!$D$13)/12),2)</f>
        <v>0</v>
      </c>
      <c r="AI332" s="56" t="n">
        <f aca="false">ROUND(Y331*(1+N(Debts!$D$14)/12),2)</f>
        <v>0</v>
      </c>
      <c r="AJ332" s="56" t="n">
        <f aca="false">MIN(Z332,MAX(0,N(Debts!$E$5)))</f>
        <v>0</v>
      </c>
      <c r="AK332" s="56" t="n">
        <f aca="false">MIN(AA332,MAX(0,N(Debts!$E$6)))</f>
        <v>0</v>
      </c>
      <c r="AL332" s="56" t="n">
        <f aca="false">MIN(AB332,MAX(0,N(Debts!$E$7)))</f>
        <v>0</v>
      </c>
      <c r="AM332" s="56" t="n">
        <f aca="false">MIN(AC332,MAX(0,N(Debts!$E$8)))</f>
        <v>0</v>
      </c>
      <c r="AN332" s="56" t="n">
        <f aca="false">MIN(AD332,MAX(0,N(Debts!$E$9)))</f>
        <v>0</v>
      </c>
      <c r="AO332" s="56" t="n">
        <f aca="false">MIN(AE332,MAX(0,N(Debts!$E$10)))</f>
        <v>0</v>
      </c>
      <c r="AP332" s="56" t="n">
        <f aca="false">MIN(AF332,MAX(0,N(Debts!$E$11)))</f>
        <v>0</v>
      </c>
      <c r="AQ332" s="56" t="n">
        <f aca="false">MIN(AG332,MAX(0,N(Debts!$E$12)))</f>
        <v>0</v>
      </c>
      <c r="AR332" s="56" t="n">
        <f aca="false">MIN(AH332,MAX(0,N(Debts!$E$13)))</f>
        <v>0</v>
      </c>
      <c r="AS332" s="56" t="n">
        <f aca="false">MIN(AI332,MAX(0,N(Debts!$E$14)))</f>
        <v>0</v>
      </c>
    </row>
    <row r="333" customFormat="false" ht="15" hidden="false" customHeight="false" outlineLevel="0" collapsed="false">
      <c r="A333" s="53" t="n">
        <v>329</v>
      </c>
      <c r="B333" s="54" t="n">
        <f aca="false">EDATE('Start Here'!$B$8,328)</f>
        <v>56309</v>
      </c>
      <c r="C333" s="42" t="n">
        <f aca="false">SUM(F333:O333)</f>
        <v>0</v>
      </c>
      <c r="D333" s="42" t="n">
        <f aca="false">ROUND(SUM($Z333:$AI333)-SUM(P332:Y332),2)</f>
        <v>0</v>
      </c>
      <c r="E333" s="55" t="n">
        <f aca="false">SUM(P333:Y333)</f>
        <v>0</v>
      </c>
      <c r="F333" s="42" t="n">
        <f aca="false">AJ333+MIN(Z333-AJ333,MAX(0,'Start Here'!$B$10-SUM($AJ333:$AS333)-SUMPRODUCT(($Z$3:$AI$3&lt;Z$3)*($Z333:$AI333-$AJ333:$AS333))))</f>
        <v>0</v>
      </c>
      <c r="G333" s="42" t="n">
        <f aca="false">AK333+MIN(AA333-AK333,MAX(0,'Start Here'!$B$10-SUM($AJ333:$AS333)-SUMPRODUCT(($Z$3:$AI$3&lt;AA$3)*($Z333:$AI333-$AJ333:$AS333))))</f>
        <v>0</v>
      </c>
      <c r="H333" s="42" t="n">
        <f aca="false">AL333+MIN(AB333-AL333,MAX(0,'Start Here'!$B$10-SUM($AJ333:$AS333)-SUMPRODUCT(($Z$3:$AI$3&lt;AB$3)*($Z333:$AI333-$AJ333:$AS333))))</f>
        <v>0</v>
      </c>
      <c r="I333" s="42" t="n">
        <f aca="false">AM333+MIN(AC333-AM333,MAX(0,'Start Here'!$B$10-SUM($AJ333:$AS333)-SUMPRODUCT(($Z$3:$AI$3&lt;AC$3)*($Z333:$AI333-$AJ333:$AS333))))</f>
        <v>0</v>
      </c>
      <c r="J333" s="42" t="n">
        <f aca="false">AN333+MIN(AD333-AN333,MAX(0,'Start Here'!$B$10-SUM($AJ333:$AS333)-SUMPRODUCT(($Z$3:$AI$3&lt;AD$3)*($Z333:$AI333-$AJ333:$AS333))))</f>
        <v>0</v>
      </c>
      <c r="K333" s="42" t="n">
        <f aca="false">AO333+MIN(AE333-AO333,MAX(0,'Start Here'!$B$10-SUM($AJ333:$AS333)-SUMPRODUCT(($Z$3:$AI$3&lt;AE$3)*($Z333:$AI333-$AJ333:$AS333))))</f>
        <v>0</v>
      </c>
      <c r="L333" s="42" t="n">
        <f aca="false">AP333+MIN(AF333-AP333,MAX(0,'Start Here'!$B$10-SUM($AJ333:$AS333)-SUMPRODUCT(($Z$3:$AI$3&lt;AF$3)*($Z333:$AI333-$AJ333:$AS333))))</f>
        <v>0</v>
      </c>
      <c r="M333" s="42" t="n">
        <f aca="false">AQ333+MIN(AG333-AQ333,MAX(0,'Start Here'!$B$10-SUM($AJ333:$AS333)-SUMPRODUCT(($Z$3:$AI$3&lt;AG$3)*($Z333:$AI333-$AJ333:$AS333))))</f>
        <v>0</v>
      </c>
      <c r="N333" s="42" t="n">
        <f aca="false">AR333+MIN(AH333-AR333,MAX(0,'Start Here'!$B$10-SUM($AJ333:$AS333)-SUMPRODUCT(($Z$3:$AI$3&lt;AH$3)*($Z333:$AI333-$AJ333:$AS333))))</f>
        <v>0</v>
      </c>
      <c r="O333" s="42" t="n">
        <f aca="false">AS333+MIN(AI333-AS333,MAX(0,'Start Here'!$B$10-SUM($AJ333:$AS333)-SUMPRODUCT(($Z$3:$AI$3&lt;AI$3)*($Z333:$AI333-$AJ333:$AS333))))</f>
        <v>0</v>
      </c>
      <c r="P333" s="42" t="n">
        <f aca="false">ROUND(Z333-F333,2)</f>
        <v>0</v>
      </c>
      <c r="Q333" s="42" t="n">
        <f aca="false">ROUND(AA333-G333,2)</f>
        <v>0</v>
      </c>
      <c r="R333" s="42" t="n">
        <f aca="false">ROUND(AB333-H333,2)</f>
        <v>0</v>
      </c>
      <c r="S333" s="42" t="n">
        <f aca="false">ROUND(AC333-I333,2)</f>
        <v>0</v>
      </c>
      <c r="T333" s="42" t="n">
        <f aca="false">ROUND(AD333-J333,2)</f>
        <v>0</v>
      </c>
      <c r="U333" s="42" t="n">
        <f aca="false">ROUND(AE333-K333,2)</f>
        <v>0</v>
      </c>
      <c r="V333" s="42" t="n">
        <f aca="false">ROUND(AF333-L333,2)</f>
        <v>0</v>
      </c>
      <c r="W333" s="42" t="n">
        <f aca="false">ROUND(AG333-M333,2)</f>
        <v>0</v>
      </c>
      <c r="X333" s="42" t="n">
        <f aca="false">ROUND(AH333-N333,2)</f>
        <v>0</v>
      </c>
      <c r="Y333" s="42" t="n">
        <f aca="false">ROUND(AI333-O333,2)</f>
        <v>0</v>
      </c>
      <c r="Z333" s="56" t="n">
        <f aca="false">ROUND(P332*(1+N(Debts!$D$5)/12),2)</f>
        <v>0</v>
      </c>
      <c r="AA333" s="56" t="n">
        <f aca="false">ROUND(Q332*(1+N(Debts!$D$6)/12),2)</f>
        <v>0</v>
      </c>
      <c r="AB333" s="56" t="n">
        <f aca="false">ROUND(R332*(1+N(Debts!$D$7)/12),2)</f>
        <v>0</v>
      </c>
      <c r="AC333" s="56" t="n">
        <f aca="false">ROUND(S332*(1+N(Debts!$D$8)/12),2)</f>
        <v>0</v>
      </c>
      <c r="AD333" s="56" t="n">
        <f aca="false">ROUND(T332*(1+N(Debts!$D$9)/12),2)</f>
        <v>0</v>
      </c>
      <c r="AE333" s="56" t="n">
        <f aca="false">ROUND(U332*(1+N(Debts!$D$10)/12),2)</f>
        <v>0</v>
      </c>
      <c r="AF333" s="56" t="n">
        <f aca="false">ROUND(V332*(1+N(Debts!$D$11)/12),2)</f>
        <v>0</v>
      </c>
      <c r="AG333" s="56" t="n">
        <f aca="false">ROUND(W332*(1+N(Debts!$D$12)/12),2)</f>
        <v>0</v>
      </c>
      <c r="AH333" s="56" t="n">
        <f aca="false">ROUND(X332*(1+N(Debts!$D$13)/12),2)</f>
        <v>0</v>
      </c>
      <c r="AI333" s="56" t="n">
        <f aca="false">ROUND(Y332*(1+N(Debts!$D$14)/12),2)</f>
        <v>0</v>
      </c>
      <c r="AJ333" s="56" t="n">
        <f aca="false">MIN(Z333,MAX(0,N(Debts!$E$5)))</f>
        <v>0</v>
      </c>
      <c r="AK333" s="56" t="n">
        <f aca="false">MIN(AA333,MAX(0,N(Debts!$E$6)))</f>
        <v>0</v>
      </c>
      <c r="AL333" s="56" t="n">
        <f aca="false">MIN(AB333,MAX(0,N(Debts!$E$7)))</f>
        <v>0</v>
      </c>
      <c r="AM333" s="56" t="n">
        <f aca="false">MIN(AC333,MAX(0,N(Debts!$E$8)))</f>
        <v>0</v>
      </c>
      <c r="AN333" s="56" t="n">
        <f aca="false">MIN(AD333,MAX(0,N(Debts!$E$9)))</f>
        <v>0</v>
      </c>
      <c r="AO333" s="56" t="n">
        <f aca="false">MIN(AE333,MAX(0,N(Debts!$E$10)))</f>
        <v>0</v>
      </c>
      <c r="AP333" s="56" t="n">
        <f aca="false">MIN(AF333,MAX(0,N(Debts!$E$11)))</f>
        <v>0</v>
      </c>
      <c r="AQ333" s="56" t="n">
        <f aca="false">MIN(AG333,MAX(0,N(Debts!$E$12)))</f>
        <v>0</v>
      </c>
      <c r="AR333" s="56" t="n">
        <f aca="false">MIN(AH333,MAX(0,N(Debts!$E$13)))</f>
        <v>0</v>
      </c>
      <c r="AS333" s="56" t="n">
        <f aca="false">MIN(AI333,MAX(0,N(Debts!$E$14)))</f>
        <v>0</v>
      </c>
    </row>
    <row r="334" customFormat="false" ht="15" hidden="false" customHeight="false" outlineLevel="0" collapsed="false">
      <c r="A334" s="53" t="n">
        <v>330</v>
      </c>
      <c r="B334" s="54" t="n">
        <f aca="false">EDATE('Start Here'!$B$8,329)</f>
        <v>56340</v>
      </c>
      <c r="C334" s="42" t="n">
        <f aca="false">SUM(F334:O334)</f>
        <v>0</v>
      </c>
      <c r="D334" s="42" t="n">
        <f aca="false">ROUND(SUM($Z334:$AI334)-SUM(P333:Y333),2)</f>
        <v>0</v>
      </c>
      <c r="E334" s="55" t="n">
        <f aca="false">SUM(P334:Y334)</f>
        <v>0</v>
      </c>
      <c r="F334" s="42" t="n">
        <f aca="false">AJ334+MIN(Z334-AJ334,MAX(0,'Start Here'!$B$10-SUM($AJ334:$AS334)-SUMPRODUCT(($Z$3:$AI$3&lt;Z$3)*($Z334:$AI334-$AJ334:$AS334))))</f>
        <v>0</v>
      </c>
      <c r="G334" s="42" t="n">
        <f aca="false">AK334+MIN(AA334-AK334,MAX(0,'Start Here'!$B$10-SUM($AJ334:$AS334)-SUMPRODUCT(($Z$3:$AI$3&lt;AA$3)*($Z334:$AI334-$AJ334:$AS334))))</f>
        <v>0</v>
      </c>
      <c r="H334" s="42" t="n">
        <f aca="false">AL334+MIN(AB334-AL334,MAX(0,'Start Here'!$B$10-SUM($AJ334:$AS334)-SUMPRODUCT(($Z$3:$AI$3&lt;AB$3)*($Z334:$AI334-$AJ334:$AS334))))</f>
        <v>0</v>
      </c>
      <c r="I334" s="42" t="n">
        <f aca="false">AM334+MIN(AC334-AM334,MAX(0,'Start Here'!$B$10-SUM($AJ334:$AS334)-SUMPRODUCT(($Z$3:$AI$3&lt;AC$3)*($Z334:$AI334-$AJ334:$AS334))))</f>
        <v>0</v>
      </c>
      <c r="J334" s="42" t="n">
        <f aca="false">AN334+MIN(AD334-AN334,MAX(0,'Start Here'!$B$10-SUM($AJ334:$AS334)-SUMPRODUCT(($Z$3:$AI$3&lt;AD$3)*($Z334:$AI334-$AJ334:$AS334))))</f>
        <v>0</v>
      </c>
      <c r="K334" s="42" t="n">
        <f aca="false">AO334+MIN(AE334-AO334,MAX(0,'Start Here'!$B$10-SUM($AJ334:$AS334)-SUMPRODUCT(($Z$3:$AI$3&lt;AE$3)*($Z334:$AI334-$AJ334:$AS334))))</f>
        <v>0</v>
      </c>
      <c r="L334" s="42" t="n">
        <f aca="false">AP334+MIN(AF334-AP334,MAX(0,'Start Here'!$B$10-SUM($AJ334:$AS334)-SUMPRODUCT(($Z$3:$AI$3&lt;AF$3)*($Z334:$AI334-$AJ334:$AS334))))</f>
        <v>0</v>
      </c>
      <c r="M334" s="42" t="n">
        <f aca="false">AQ334+MIN(AG334-AQ334,MAX(0,'Start Here'!$B$10-SUM($AJ334:$AS334)-SUMPRODUCT(($Z$3:$AI$3&lt;AG$3)*($Z334:$AI334-$AJ334:$AS334))))</f>
        <v>0</v>
      </c>
      <c r="N334" s="42" t="n">
        <f aca="false">AR334+MIN(AH334-AR334,MAX(0,'Start Here'!$B$10-SUM($AJ334:$AS334)-SUMPRODUCT(($Z$3:$AI$3&lt;AH$3)*($Z334:$AI334-$AJ334:$AS334))))</f>
        <v>0</v>
      </c>
      <c r="O334" s="42" t="n">
        <f aca="false">AS334+MIN(AI334-AS334,MAX(0,'Start Here'!$B$10-SUM($AJ334:$AS334)-SUMPRODUCT(($Z$3:$AI$3&lt;AI$3)*($Z334:$AI334-$AJ334:$AS334))))</f>
        <v>0</v>
      </c>
      <c r="P334" s="42" t="n">
        <f aca="false">ROUND(Z334-F334,2)</f>
        <v>0</v>
      </c>
      <c r="Q334" s="42" t="n">
        <f aca="false">ROUND(AA334-G334,2)</f>
        <v>0</v>
      </c>
      <c r="R334" s="42" t="n">
        <f aca="false">ROUND(AB334-H334,2)</f>
        <v>0</v>
      </c>
      <c r="S334" s="42" t="n">
        <f aca="false">ROUND(AC334-I334,2)</f>
        <v>0</v>
      </c>
      <c r="T334" s="42" t="n">
        <f aca="false">ROUND(AD334-J334,2)</f>
        <v>0</v>
      </c>
      <c r="U334" s="42" t="n">
        <f aca="false">ROUND(AE334-K334,2)</f>
        <v>0</v>
      </c>
      <c r="V334" s="42" t="n">
        <f aca="false">ROUND(AF334-L334,2)</f>
        <v>0</v>
      </c>
      <c r="W334" s="42" t="n">
        <f aca="false">ROUND(AG334-M334,2)</f>
        <v>0</v>
      </c>
      <c r="X334" s="42" t="n">
        <f aca="false">ROUND(AH334-N334,2)</f>
        <v>0</v>
      </c>
      <c r="Y334" s="42" t="n">
        <f aca="false">ROUND(AI334-O334,2)</f>
        <v>0</v>
      </c>
      <c r="Z334" s="56" t="n">
        <f aca="false">ROUND(P333*(1+N(Debts!$D$5)/12),2)</f>
        <v>0</v>
      </c>
      <c r="AA334" s="56" t="n">
        <f aca="false">ROUND(Q333*(1+N(Debts!$D$6)/12),2)</f>
        <v>0</v>
      </c>
      <c r="AB334" s="56" t="n">
        <f aca="false">ROUND(R333*(1+N(Debts!$D$7)/12),2)</f>
        <v>0</v>
      </c>
      <c r="AC334" s="56" t="n">
        <f aca="false">ROUND(S333*(1+N(Debts!$D$8)/12),2)</f>
        <v>0</v>
      </c>
      <c r="AD334" s="56" t="n">
        <f aca="false">ROUND(T333*(1+N(Debts!$D$9)/12),2)</f>
        <v>0</v>
      </c>
      <c r="AE334" s="56" t="n">
        <f aca="false">ROUND(U333*(1+N(Debts!$D$10)/12),2)</f>
        <v>0</v>
      </c>
      <c r="AF334" s="56" t="n">
        <f aca="false">ROUND(V333*(1+N(Debts!$D$11)/12),2)</f>
        <v>0</v>
      </c>
      <c r="AG334" s="56" t="n">
        <f aca="false">ROUND(W333*(1+N(Debts!$D$12)/12),2)</f>
        <v>0</v>
      </c>
      <c r="AH334" s="56" t="n">
        <f aca="false">ROUND(X333*(1+N(Debts!$D$13)/12),2)</f>
        <v>0</v>
      </c>
      <c r="AI334" s="56" t="n">
        <f aca="false">ROUND(Y333*(1+N(Debts!$D$14)/12),2)</f>
        <v>0</v>
      </c>
      <c r="AJ334" s="56" t="n">
        <f aca="false">MIN(Z334,MAX(0,N(Debts!$E$5)))</f>
        <v>0</v>
      </c>
      <c r="AK334" s="56" t="n">
        <f aca="false">MIN(AA334,MAX(0,N(Debts!$E$6)))</f>
        <v>0</v>
      </c>
      <c r="AL334" s="56" t="n">
        <f aca="false">MIN(AB334,MAX(0,N(Debts!$E$7)))</f>
        <v>0</v>
      </c>
      <c r="AM334" s="56" t="n">
        <f aca="false">MIN(AC334,MAX(0,N(Debts!$E$8)))</f>
        <v>0</v>
      </c>
      <c r="AN334" s="56" t="n">
        <f aca="false">MIN(AD334,MAX(0,N(Debts!$E$9)))</f>
        <v>0</v>
      </c>
      <c r="AO334" s="56" t="n">
        <f aca="false">MIN(AE334,MAX(0,N(Debts!$E$10)))</f>
        <v>0</v>
      </c>
      <c r="AP334" s="56" t="n">
        <f aca="false">MIN(AF334,MAX(0,N(Debts!$E$11)))</f>
        <v>0</v>
      </c>
      <c r="AQ334" s="56" t="n">
        <f aca="false">MIN(AG334,MAX(0,N(Debts!$E$12)))</f>
        <v>0</v>
      </c>
      <c r="AR334" s="56" t="n">
        <f aca="false">MIN(AH334,MAX(0,N(Debts!$E$13)))</f>
        <v>0</v>
      </c>
      <c r="AS334" s="56" t="n">
        <f aca="false">MIN(AI334,MAX(0,N(Debts!$E$14)))</f>
        <v>0</v>
      </c>
    </row>
    <row r="335" customFormat="false" ht="15" hidden="false" customHeight="false" outlineLevel="0" collapsed="false">
      <c r="A335" s="53" t="n">
        <v>331</v>
      </c>
      <c r="B335" s="54" t="n">
        <f aca="false">EDATE('Start Here'!$B$8,330)</f>
        <v>56370</v>
      </c>
      <c r="C335" s="42" t="n">
        <f aca="false">SUM(F335:O335)</f>
        <v>0</v>
      </c>
      <c r="D335" s="42" t="n">
        <f aca="false">ROUND(SUM($Z335:$AI335)-SUM(P334:Y334),2)</f>
        <v>0</v>
      </c>
      <c r="E335" s="55" t="n">
        <f aca="false">SUM(P335:Y335)</f>
        <v>0</v>
      </c>
      <c r="F335" s="42" t="n">
        <f aca="false">AJ335+MIN(Z335-AJ335,MAX(0,'Start Here'!$B$10-SUM($AJ335:$AS335)-SUMPRODUCT(($Z$3:$AI$3&lt;Z$3)*($Z335:$AI335-$AJ335:$AS335))))</f>
        <v>0</v>
      </c>
      <c r="G335" s="42" t="n">
        <f aca="false">AK335+MIN(AA335-AK335,MAX(0,'Start Here'!$B$10-SUM($AJ335:$AS335)-SUMPRODUCT(($Z$3:$AI$3&lt;AA$3)*($Z335:$AI335-$AJ335:$AS335))))</f>
        <v>0</v>
      </c>
      <c r="H335" s="42" t="n">
        <f aca="false">AL335+MIN(AB335-AL335,MAX(0,'Start Here'!$B$10-SUM($AJ335:$AS335)-SUMPRODUCT(($Z$3:$AI$3&lt;AB$3)*($Z335:$AI335-$AJ335:$AS335))))</f>
        <v>0</v>
      </c>
      <c r="I335" s="42" t="n">
        <f aca="false">AM335+MIN(AC335-AM335,MAX(0,'Start Here'!$B$10-SUM($AJ335:$AS335)-SUMPRODUCT(($Z$3:$AI$3&lt;AC$3)*($Z335:$AI335-$AJ335:$AS335))))</f>
        <v>0</v>
      </c>
      <c r="J335" s="42" t="n">
        <f aca="false">AN335+MIN(AD335-AN335,MAX(0,'Start Here'!$B$10-SUM($AJ335:$AS335)-SUMPRODUCT(($Z$3:$AI$3&lt;AD$3)*($Z335:$AI335-$AJ335:$AS335))))</f>
        <v>0</v>
      </c>
      <c r="K335" s="42" t="n">
        <f aca="false">AO335+MIN(AE335-AO335,MAX(0,'Start Here'!$B$10-SUM($AJ335:$AS335)-SUMPRODUCT(($Z$3:$AI$3&lt;AE$3)*($Z335:$AI335-$AJ335:$AS335))))</f>
        <v>0</v>
      </c>
      <c r="L335" s="42" t="n">
        <f aca="false">AP335+MIN(AF335-AP335,MAX(0,'Start Here'!$B$10-SUM($AJ335:$AS335)-SUMPRODUCT(($Z$3:$AI$3&lt;AF$3)*($Z335:$AI335-$AJ335:$AS335))))</f>
        <v>0</v>
      </c>
      <c r="M335" s="42" t="n">
        <f aca="false">AQ335+MIN(AG335-AQ335,MAX(0,'Start Here'!$B$10-SUM($AJ335:$AS335)-SUMPRODUCT(($Z$3:$AI$3&lt;AG$3)*($Z335:$AI335-$AJ335:$AS335))))</f>
        <v>0</v>
      </c>
      <c r="N335" s="42" t="n">
        <f aca="false">AR335+MIN(AH335-AR335,MAX(0,'Start Here'!$B$10-SUM($AJ335:$AS335)-SUMPRODUCT(($Z$3:$AI$3&lt;AH$3)*($Z335:$AI335-$AJ335:$AS335))))</f>
        <v>0</v>
      </c>
      <c r="O335" s="42" t="n">
        <f aca="false">AS335+MIN(AI335-AS335,MAX(0,'Start Here'!$B$10-SUM($AJ335:$AS335)-SUMPRODUCT(($Z$3:$AI$3&lt;AI$3)*($Z335:$AI335-$AJ335:$AS335))))</f>
        <v>0</v>
      </c>
      <c r="P335" s="42" t="n">
        <f aca="false">ROUND(Z335-F335,2)</f>
        <v>0</v>
      </c>
      <c r="Q335" s="42" t="n">
        <f aca="false">ROUND(AA335-G335,2)</f>
        <v>0</v>
      </c>
      <c r="R335" s="42" t="n">
        <f aca="false">ROUND(AB335-H335,2)</f>
        <v>0</v>
      </c>
      <c r="S335" s="42" t="n">
        <f aca="false">ROUND(AC335-I335,2)</f>
        <v>0</v>
      </c>
      <c r="T335" s="42" t="n">
        <f aca="false">ROUND(AD335-J335,2)</f>
        <v>0</v>
      </c>
      <c r="U335" s="42" t="n">
        <f aca="false">ROUND(AE335-K335,2)</f>
        <v>0</v>
      </c>
      <c r="V335" s="42" t="n">
        <f aca="false">ROUND(AF335-L335,2)</f>
        <v>0</v>
      </c>
      <c r="W335" s="42" t="n">
        <f aca="false">ROUND(AG335-M335,2)</f>
        <v>0</v>
      </c>
      <c r="X335" s="42" t="n">
        <f aca="false">ROUND(AH335-N335,2)</f>
        <v>0</v>
      </c>
      <c r="Y335" s="42" t="n">
        <f aca="false">ROUND(AI335-O335,2)</f>
        <v>0</v>
      </c>
      <c r="Z335" s="56" t="n">
        <f aca="false">ROUND(P334*(1+N(Debts!$D$5)/12),2)</f>
        <v>0</v>
      </c>
      <c r="AA335" s="56" t="n">
        <f aca="false">ROUND(Q334*(1+N(Debts!$D$6)/12),2)</f>
        <v>0</v>
      </c>
      <c r="AB335" s="56" t="n">
        <f aca="false">ROUND(R334*(1+N(Debts!$D$7)/12),2)</f>
        <v>0</v>
      </c>
      <c r="AC335" s="56" t="n">
        <f aca="false">ROUND(S334*(1+N(Debts!$D$8)/12),2)</f>
        <v>0</v>
      </c>
      <c r="AD335" s="56" t="n">
        <f aca="false">ROUND(T334*(1+N(Debts!$D$9)/12),2)</f>
        <v>0</v>
      </c>
      <c r="AE335" s="56" t="n">
        <f aca="false">ROUND(U334*(1+N(Debts!$D$10)/12),2)</f>
        <v>0</v>
      </c>
      <c r="AF335" s="56" t="n">
        <f aca="false">ROUND(V334*(1+N(Debts!$D$11)/12),2)</f>
        <v>0</v>
      </c>
      <c r="AG335" s="56" t="n">
        <f aca="false">ROUND(W334*(1+N(Debts!$D$12)/12),2)</f>
        <v>0</v>
      </c>
      <c r="AH335" s="56" t="n">
        <f aca="false">ROUND(X334*(1+N(Debts!$D$13)/12),2)</f>
        <v>0</v>
      </c>
      <c r="AI335" s="56" t="n">
        <f aca="false">ROUND(Y334*(1+N(Debts!$D$14)/12),2)</f>
        <v>0</v>
      </c>
      <c r="AJ335" s="56" t="n">
        <f aca="false">MIN(Z335,MAX(0,N(Debts!$E$5)))</f>
        <v>0</v>
      </c>
      <c r="AK335" s="56" t="n">
        <f aca="false">MIN(AA335,MAX(0,N(Debts!$E$6)))</f>
        <v>0</v>
      </c>
      <c r="AL335" s="56" t="n">
        <f aca="false">MIN(AB335,MAX(0,N(Debts!$E$7)))</f>
        <v>0</v>
      </c>
      <c r="AM335" s="56" t="n">
        <f aca="false">MIN(AC335,MAX(0,N(Debts!$E$8)))</f>
        <v>0</v>
      </c>
      <c r="AN335" s="56" t="n">
        <f aca="false">MIN(AD335,MAX(0,N(Debts!$E$9)))</f>
        <v>0</v>
      </c>
      <c r="AO335" s="56" t="n">
        <f aca="false">MIN(AE335,MAX(0,N(Debts!$E$10)))</f>
        <v>0</v>
      </c>
      <c r="AP335" s="56" t="n">
        <f aca="false">MIN(AF335,MAX(0,N(Debts!$E$11)))</f>
        <v>0</v>
      </c>
      <c r="AQ335" s="56" t="n">
        <f aca="false">MIN(AG335,MAX(0,N(Debts!$E$12)))</f>
        <v>0</v>
      </c>
      <c r="AR335" s="56" t="n">
        <f aca="false">MIN(AH335,MAX(0,N(Debts!$E$13)))</f>
        <v>0</v>
      </c>
      <c r="AS335" s="56" t="n">
        <f aca="false">MIN(AI335,MAX(0,N(Debts!$E$14)))</f>
        <v>0</v>
      </c>
    </row>
    <row r="336" customFormat="false" ht="15" hidden="false" customHeight="false" outlineLevel="0" collapsed="false">
      <c r="A336" s="53" t="n">
        <v>332</v>
      </c>
      <c r="B336" s="54" t="n">
        <f aca="false">EDATE('Start Here'!$B$8,331)</f>
        <v>56401</v>
      </c>
      <c r="C336" s="42" t="n">
        <f aca="false">SUM(F336:O336)</f>
        <v>0</v>
      </c>
      <c r="D336" s="42" t="n">
        <f aca="false">ROUND(SUM($Z336:$AI336)-SUM(P335:Y335),2)</f>
        <v>0</v>
      </c>
      <c r="E336" s="55" t="n">
        <f aca="false">SUM(P336:Y336)</f>
        <v>0</v>
      </c>
      <c r="F336" s="42" t="n">
        <f aca="false">AJ336+MIN(Z336-AJ336,MAX(0,'Start Here'!$B$10-SUM($AJ336:$AS336)-SUMPRODUCT(($Z$3:$AI$3&lt;Z$3)*($Z336:$AI336-$AJ336:$AS336))))</f>
        <v>0</v>
      </c>
      <c r="G336" s="42" t="n">
        <f aca="false">AK336+MIN(AA336-AK336,MAX(0,'Start Here'!$B$10-SUM($AJ336:$AS336)-SUMPRODUCT(($Z$3:$AI$3&lt;AA$3)*($Z336:$AI336-$AJ336:$AS336))))</f>
        <v>0</v>
      </c>
      <c r="H336" s="42" t="n">
        <f aca="false">AL336+MIN(AB336-AL336,MAX(0,'Start Here'!$B$10-SUM($AJ336:$AS336)-SUMPRODUCT(($Z$3:$AI$3&lt;AB$3)*($Z336:$AI336-$AJ336:$AS336))))</f>
        <v>0</v>
      </c>
      <c r="I336" s="42" t="n">
        <f aca="false">AM336+MIN(AC336-AM336,MAX(0,'Start Here'!$B$10-SUM($AJ336:$AS336)-SUMPRODUCT(($Z$3:$AI$3&lt;AC$3)*($Z336:$AI336-$AJ336:$AS336))))</f>
        <v>0</v>
      </c>
      <c r="J336" s="42" t="n">
        <f aca="false">AN336+MIN(AD336-AN336,MAX(0,'Start Here'!$B$10-SUM($AJ336:$AS336)-SUMPRODUCT(($Z$3:$AI$3&lt;AD$3)*($Z336:$AI336-$AJ336:$AS336))))</f>
        <v>0</v>
      </c>
      <c r="K336" s="42" t="n">
        <f aca="false">AO336+MIN(AE336-AO336,MAX(0,'Start Here'!$B$10-SUM($AJ336:$AS336)-SUMPRODUCT(($Z$3:$AI$3&lt;AE$3)*($Z336:$AI336-$AJ336:$AS336))))</f>
        <v>0</v>
      </c>
      <c r="L336" s="42" t="n">
        <f aca="false">AP336+MIN(AF336-AP336,MAX(0,'Start Here'!$B$10-SUM($AJ336:$AS336)-SUMPRODUCT(($Z$3:$AI$3&lt;AF$3)*($Z336:$AI336-$AJ336:$AS336))))</f>
        <v>0</v>
      </c>
      <c r="M336" s="42" t="n">
        <f aca="false">AQ336+MIN(AG336-AQ336,MAX(0,'Start Here'!$B$10-SUM($AJ336:$AS336)-SUMPRODUCT(($Z$3:$AI$3&lt;AG$3)*($Z336:$AI336-$AJ336:$AS336))))</f>
        <v>0</v>
      </c>
      <c r="N336" s="42" t="n">
        <f aca="false">AR336+MIN(AH336-AR336,MAX(0,'Start Here'!$B$10-SUM($AJ336:$AS336)-SUMPRODUCT(($Z$3:$AI$3&lt;AH$3)*($Z336:$AI336-$AJ336:$AS336))))</f>
        <v>0</v>
      </c>
      <c r="O336" s="42" t="n">
        <f aca="false">AS336+MIN(AI336-AS336,MAX(0,'Start Here'!$B$10-SUM($AJ336:$AS336)-SUMPRODUCT(($Z$3:$AI$3&lt;AI$3)*($Z336:$AI336-$AJ336:$AS336))))</f>
        <v>0</v>
      </c>
      <c r="P336" s="42" t="n">
        <f aca="false">ROUND(Z336-F336,2)</f>
        <v>0</v>
      </c>
      <c r="Q336" s="42" t="n">
        <f aca="false">ROUND(AA336-G336,2)</f>
        <v>0</v>
      </c>
      <c r="R336" s="42" t="n">
        <f aca="false">ROUND(AB336-H336,2)</f>
        <v>0</v>
      </c>
      <c r="S336" s="42" t="n">
        <f aca="false">ROUND(AC336-I336,2)</f>
        <v>0</v>
      </c>
      <c r="T336" s="42" t="n">
        <f aca="false">ROUND(AD336-J336,2)</f>
        <v>0</v>
      </c>
      <c r="U336" s="42" t="n">
        <f aca="false">ROUND(AE336-K336,2)</f>
        <v>0</v>
      </c>
      <c r="V336" s="42" t="n">
        <f aca="false">ROUND(AF336-L336,2)</f>
        <v>0</v>
      </c>
      <c r="W336" s="42" t="n">
        <f aca="false">ROUND(AG336-M336,2)</f>
        <v>0</v>
      </c>
      <c r="X336" s="42" t="n">
        <f aca="false">ROUND(AH336-N336,2)</f>
        <v>0</v>
      </c>
      <c r="Y336" s="42" t="n">
        <f aca="false">ROUND(AI336-O336,2)</f>
        <v>0</v>
      </c>
      <c r="Z336" s="56" t="n">
        <f aca="false">ROUND(P335*(1+N(Debts!$D$5)/12),2)</f>
        <v>0</v>
      </c>
      <c r="AA336" s="56" t="n">
        <f aca="false">ROUND(Q335*(1+N(Debts!$D$6)/12),2)</f>
        <v>0</v>
      </c>
      <c r="AB336" s="56" t="n">
        <f aca="false">ROUND(R335*(1+N(Debts!$D$7)/12),2)</f>
        <v>0</v>
      </c>
      <c r="AC336" s="56" t="n">
        <f aca="false">ROUND(S335*(1+N(Debts!$D$8)/12),2)</f>
        <v>0</v>
      </c>
      <c r="AD336" s="56" t="n">
        <f aca="false">ROUND(T335*(1+N(Debts!$D$9)/12),2)</f>
        <v>0</v>
      </c>
      <c r="AE336" s="56" t="n">
        <f aca="false">ROUND(U335*(1+N(Debts!$D$10)/12),2)</f>
        <v>0</v>
      </c>
      <c r="AF336" s="56" t="n">
        <f aca="false">ROUND(V335*(1+N(Debts!$D$11)/12),2)</f>
        <v>0</v>
      </c>
      <c r="AG336" s="56" t="n">
        <f aca="false">ROUND(W335*(1+N(Debts!$D$12)/12),2)</f>
        <v>0</v>
      </c>
      <c r="AH336" s="56" t="n">
        <f aca="false">ROUND(X335*(1+N(Debts!$D$13)/12),2)</f>
        <v>0</v>
      </c>
      <c r="AI336" s="56" t="n">
        <f aca="false">ROUND(Y335*(1+N(Debts!$D$14)/12),2)</f>
        <v>0</v>
      </c>
      <c r="AJ336" s="56" t="n">
        <f aca="false">MIN(Z336,MAX(0,N(Debts!$E$5)))</f>
        <v>0</v>
      </c>
      <c r="AK336" s="56" t="n">
        <f aca="false">MIN(AA336,MAX(0,N(Debts!$E$6)))</f>
        <v>0</v>
      </c>
      <c r="AL336" s="56" t="n">
        <f aca="false">MIN(AB336,MAX(0,N(Debts!$E$7)))</f>
        <v>0</v>
      </c>
      <c r="AM336" s="56" t="n">
        <f aca="false">MIN(AC336,MAX(0,N(Debts!$E$8)))</f>
        <v>0</v>
      </c>
      <c r="AN336" s="56" t="n">
        <f aca="false">MIN(AD336,MAX(0,N(Debts!$E$9)))</f>
        <v>0</v>
      </c>
      <c r="AO336" s="56" t="n">
        <f aca="false">MIN(AE336,MAX(0,N(Debts!$E$10)))</f>
        <v>0</v>
      </c>
      <c r="AP336" s="56" t="n">
        <f aca="false">MIN(AF336,MAX(0,N(Debts!$E$11)))</f>
        <v>0</v>
      </c>
      <c r="AQ336" s="56" t="n">
        <f aca="false">MIN(AG336,MAX(0,N(Debts!$E$12)))</f>
        <v>0</v>
      </c>
      <c r="AR336" s="56" t="n">
        <f aca="false">MIN(AH336,MAX(0,N(Debts!$E$13)))</f>
        <v>0</v>
      </c>
      <c r="AS336" s="56" t="n">
        <f aca="false">MIN(AI336,MAX(0,N(Debts!$E$14)))</f>
        <v>0</v>
      </c>
    </row>
    <row r="337" customFormat="false" ht="15" hidden="false" customHeight="false" outlineLevel="0" collapsed="false">
      <c r="A337" s="53" t="n">
        <v>333</v>
      </c>
      <c r="B337" s="54" t="n">
        <f aca="false">EDATE('Start Here'!$B$8,332)</f>
        <v>56431</v>
      </c>
      <c r="C337" s="42" t="n">
        <f aca="false">SUM(F337:O337)</f>
        <v>0</v>
      </c>
      <c r="D337" s="42" t="n">
        <f aca="false">ROUND(SUM($Z337:$AI337)-SUM(P336:Y336),2)</f>
        <v>0</v>
      </c>
      <c r="E337" s="55" t="n">
        <f aca="false">SUM(P337:Y337)</f>
        <v>0</v>
      </c>
      <c r="F337" s="42" t="n">
        <f aca="false">AJ337+MIN(Z337-AJ337,MAX(0,'Start Here'!$B$10-SUM($AJ337:$AS337)-SUMPRODUCT(($Z$3:$AI$3&lt;Z$3)*($Z337:$AI337-$AJ337:$AS337))))</f>
        <v>0</v>
      </c>
      <c r="G337" s="42" t="n">
        <f aca="false">AK337+MIN(AA337-AK337,MAX(0,'Start Here'!$B$10-SUM($AJ337:$AS337)-SUMPRODUCT(($Z$3:$AI$3&lt;AA$3)*($Z337:$AI337-$AJ337:$AS337))))</f>
        <v>0</v>
      </c>
      <c r="H337" s="42" t="n">
        <f aca="false">AL337+MIN(AB337-AL337,MAX(0,'Start Here'!$B$10-SUM($AJ337:$AS337)-SUMPRODUCT(($Z$3:$AI$3&lt;AB$3)*($Z337:$AI337-$AJ337:$AS337))))</f>
        <v>0</v>
      </c>
      <c r="I337" s="42" t="n">
        <f aca="false">AM337+MIN(AC337-AM337,MAX(0,'Start Here'!$B$10-SUM($AJ337:$AS337)-SUMPRODUCT(($Z$3:$AI$3&lt;AC$3)*($Z337:$AI337-$AJ337:$AS337))))</f>
        <v>0</v>
      </c>
      <c r="J337" s="42" t="n">
        <f aca="false">AN337+MIN(AD337-AN337,MAX(0,'Start Here'!$B$10-SUM($AJ337:$AS337)-SUMPRODUCT(($Z$3:$AI$3&lt;AD$3)*($Z337:$AI337-$AJ337:$AS337))))</f>
        <v>0</v>
      </c>
      <c r="K337" s="42" t="n">
        <f aca="false">AO337+MIN(AE337-AO337,MAX(0,'Start Here'!$B$10-SUM($AJ337:$AS337)-SUMPRODUCT(($Z$3:$AI$3&lt;AE$3)*($Z337:$AI337-$AJ337:$AS337))))</f>
        <v>0</v>
      </c>
      <c r="L337" s="42" t="n">
        <f aca="false">AP337+MIN(AF337-AP337,MAX(0,'Start Here'!$B$10-SUM($AJ337:$AS337)-SUMPRODUCT(($Z$3:$AI$3&lt;AF$3)*($Z337:$AI337-$AJ337:$AS337))))</f>
        <v>0</v>
      </c>
      <c r="M337" s="42" t="n">
        <f aca="false">AQ337+MIN(AG337-AQ337,MAX(0,'Start Here'!$B$10-SUM($AJ337:$AS337)-SUMPRODUCT(($Z$3:$AI$3&lt;AG$3)*($Z337:$AI337-$AJ337:$AS337))))</f>
        <v>0</v>
      </c>
      <c r="N337" s="42" t="n">
        <f aca="false">AR337+MIN(AH337-AR337,MAX(0,'Start Here'!$B$10-SUM($AJ337:$AS337)-SUMPRODUCT(($Z$3:$AI$3&lt;AH$3)*($Z337:$AI337-$AJ337:$AS337))))</f>
        <v>0</v>
      </c>
      <c r="O337" s="42" t="n">
        <f aca="false">AS337+MIN(AI337-AS337,MAX(0,'Start Here'!$B$10-SUM($AJ337:$AS337)-SUMPRODUCT(($Z$3:$AI$3&lt;AI$3)*($Z337:$AI337-$AJ337:$AS337))))</f>
        <v>0</v>
      </c>
      <c r="P337" s="42" t="n">
        <f aca="false">ROUND(Z337-F337,2)</f>
        <v>0</v>
      </c>
      <c r="Q337" s="42" t="n">
        <f aca="false">ROUND(AA337-G337,2)</f>
        <v>0</v>
      </c>
      <c r="R337" s="42" t="n">
        <f aca="false">ROUND(AB337-H337,2)</f>
        <v>0</v>
      </c>
      <c r="S337" s="42" t="n">
        <f aca="false">ROUND(AC337-I337,2)</f>
        <v>0</v>
      </c>
      <c r="T337" s="42" t="n">
        <f aca="false">ROUND(AD337-J337,2)</f>
        <v>0</v>
      </c>
      <c r="U337" s="42" t="n">
        <f aca="false">ROUND(AE337-K337,2)</f>
        <v>0</v>
      </c>
      <c r="V337" s="42" t="n">
        <f aca="false">ROUND(AF337-L337,2)</f>
        <v>0</v>
      </c>
      <c r="W337" s="42" t="n">
        <f aca="false">ROUND(AG337-M337,2)</f>
        <v>0</v>
      </c>
      <c r="X337" s="42" t="n">
        <f aca="false">ROUND(AH337-N337,2)</f>
        <v>0</v>
      </c>
      <c r="Y337" s="42" t="n">
        <f aca="false">ROUND(AI337-O337,2)</f>
        <v>0</v>
      </c>
      <c r="Z337" s="56" t="n">
        <f aca="false">ROUND(P336*(1+N(Debts!$D$5)/12),2)</f>
        <v>0</v>
      </c>
      <c r="AA337" s="56" t="n">
        <f aca="false">ROUND(Q336*(1+N(Debts!$D$6)/12),2)</f>
        <v>0</v>
      </c>
      <c r="AB337" s="56" t="n">
        <f aca="false">ROUND(R336*(1+N(Debts!$D$7)/12),2)</f>
        <v>0</v>
      </c>
      <c r="AC337" s="56" t="n">
        <f aca="false">ROUND(S336*(1+N(Debts!$D$8)/12),2)</f>
        <v>0</v>
      </c>
      <c r="AD337" s="56" t="n">
        <f aca="false">ROUND(T336*(1+N(Debts!$D$9)/12),2)</f>
        <v>0</v>
      </c>
      <c r="AE337" s="56" t="n">
        <f aca="false">ROUND(U336*(1+N(Debts!$D$10)/12),2)</f>
        <v>0</v>
      </c>
      <c r="AF337" s="56" t="n">
        <f aca="false">ROUND(V336*(1+N(Debts!$D$11)/12),2)</f>
        <v>0</v>
      </c>
      <c r="AG337" s="56" t="n">
        <f aca="false">ROUND(W336*(1+N(Debts!$D$12)/12),2)</f>
        <v>0</v>
      </c>
      <c r="AH337" s="56" t="n">
        <f aca="false">ROUND(X336*(1+N(Debts!$D$13)/12),2)</f>
        <v>0</v>
      </c>
      <c r="AI337" s="56" t="n">
        <f aca="false">ROUND(Y336*(1+N(Debts!$D$14)/12),2)</f>
        <v>0</v>
      </c>
      <c r="AJ337" s="56" t="n">
        <f aca="false">MIN(Z337,MAX(0,N(Debts!$E$5)))</f>
        <v>0</v>
      </c>
      <c r="AK337" s="56" t="n">
        <f aca="false">MIN(AA337,MAX(0,N(Debts!$E$6)))</f>
        <v>0</v>
      </c>
      <c r="AL337" s="56" t="n">
        <f aca="false">MIN(AB337,MAX(0,N(Debts!$E$7)))</f>
        <v>0</v>
      </c>
      <c r="AM337" s="56" t="n">
        <f aca="false">MIN(AC337,MAX(0,N(Debts!$E$8)))</f>
        <v>0</v>
      </c>
      <c r="AN337" s="56" t="n">
        <f aca="false">MIN(AD337,MAX(0,N(Debts!$E$9)))</f>
        <v>0</v>
      </c>
      <c r="AO337" s="56" t="n">
        <f aca="false">MIN(AE337,MAX(0,N(Debts!$E$10)))</f>
        <v>0</v>
      </c>
      <c r="AP337" s="56" t="n">
        <f aca="false">MIN(AF337,MAX(0,N(Debts!$E$11)))</f>
        <v>0</v>
      </c>
      <c r="AQ337" s="56" t="n">
        <f aca="false">MIN(AG337,MAX(0,N(Debts!$E$12)))</f>
        <v>0</v>
      </c>
      <c r="AR337" s="56" t="n">
        <f aca="false">MIN(AH337,MAX(0,N(Debts!$E$13)))</f>
        <v>0</v>
      </c>
      <c r="AS337" s="56" t="n">
        <f aca="false">MIN(AI337,MAX(0,N(Debts!$E$14)))</f>
        <v>0</v>
      </c>
    </row>
    <row r="338" customFormat="false" ht="15" hidden="false" customHeight="false" outlineLevel="0" collapsed="false">
      <c r="A338" s="53" t="n">
        <v>334</v>
      </c>
      <c r="B338" s="54" t="n">
        <f aca="false">EDATE('Start Here'!$B$8,333)</f>
        <v>56462</v>
      </c>
      <c r="C338" s="42" t="n">
        <f aca="false">SUM(F338:O338)</f>
        <v>0</v>
      </c>
      <c r="D338" s="42" t="n">
        <f aca="false">ROUND(SUM($Z338:$AI338)-SUM(P337:Y337),2)</f>
        <v>0</v>
      </c>
      <c r="E338" s="55" t="n">
        <f aca="false">SUM(P338:Y338)</f>
        <v>0</v>
      </c>
      <c r="F338" s="42" t="n">
        <f aca="false">AJ338+MIN(Z338-AJ338,MAX(0,'Start Here'!$B$10-SUM($AJ338:$AS338)-SUMPRODUCT(($Z$3:$AI$3&lt;Z$3)*($Z338:$AI338-$AJ338:$AS338))))</f>
        <v>0</v>
      </c>
      <c r="G338" s="42" t="n">
        <f aca="false">AK338+MIN(AA338-AK338,MAX(0,'Start Here'!$B$10-SUM($AJ338:$AS338)-SUMPRODUCT(($Z$3:$AI$3&lt;AA$3)*($Z338:$AI338-$AJ338:$AS338))))</f>
        <v>0</v>
      </c>
      <c r="H338" s="42" t="n">
        <f aca="false">AL338+MIN(AB338-AL338,MAX(0,'Start Here'!$B$10-SUM($AJ338:$AS338)-SUMPRODUCT(($Z$3:$AI$3&lt;AB$3)*($Z338:$AI338-$AJ338:$AS338))))</f>
        <v>0</v>
      </c>
      <c r="I338" s="42" t="n">
        <f aca="false">AM338+MIN(AC338-AM338,MAX(0,'Start Here'!$B$10-SUM($AJ338:$AS338)-SUMPRODUCT(($Z$3:$AI$3&lt;AC$3)*($Z338:$AI338-$AJ338:$AS338))))</f>
        <v>0</v>
      </c>
      <c r="J338" s="42" t="n">
        <f aca="false">AN338+MIN(AD338-AN338,MAX(0,'Start Here'!$B$10-SUM($AJ338:$AS338)-SUMPRODUCT(($Z$3:$AI$3&lt;AD$3)*($Z338:$AI338-$AJ338:$AS338))))</f>
        <v>0</v>
      </c>
      <c r="K338" s="42" t="n">
        <f aca="false">AO338+MIN(AE338-AO338,MAX(0,'Start Here'!$B$10-SUM($AJ338:$AS338)-SUMPRODUCT(($Z$3:$AI$3&lt;AE$3)*($Z338:$AI338-$AJ338:$AS338))))</f>
        <v>0</v>
      </c>
      <c r="L338" s="42" t="n">
        <f aca="false">AP338+MIN(AF338-AP338,MAX(0,'Start Here'!$B$10-SUM($AJ338:$AS338)-SUMPRODUCT(($Z$3:$AI$3&lt;AF$3)*($Z338:$AI338-$AJ338:$AS338))))</f>
        <v>0</v>
      </c>
      <c r="M338" s="42" t="n">
        <f aca="false">AQ338+MIN(AG338-AQ338,MAX(0,'Start Here'!$B$10-SUM($AJ338:$AS338)-SUMPRODUCT(($Z$3:$AI$3&lt;AG$3)*($Z338:$AI338-$AJ338:$AS338))))</f>
        <v>0</v>
      </c>
      <c r="N338" s="42" t="n">
        <f aca="false">AR338+MIN(AH338-AR338,MAX(0,'Start Here'!$B$10-SUM($AJ338:$AS338)-SUMPRODUCT(($Z$3:$AI$3&lt;AH$3)*($Z338:$AI338-$AJ338:$AS338))))</f>
        <v>0</v>
      </c>
      <c r="O338" s="42" t="n">
        <f aca="false">AS338+MIN(AI338-AS338,MAX(0,'Start Here'!$B$10-SUM($AJ338:$AS338)-SUMPRODUCT(($Z$3:$AI$3&lt;AI$3)*($Z338:$AI338-$AJ338:$AS338))))</f>
        <v>0</v>
      </c>
      <c r="P338" s="42" t="n">
        <f aca="false">ROUND(Z338-F338,2)</f>
        <v>0</v>
      </c>
      <c r="Q338" s="42" t="n">
        <f aca="false">ROUND(AA338-G338,2)</f>
        <v>0</v>
      </c>
      <c r="R338" s="42" t="n">
        <f aca="false">ROUND(AB338-H338,2)</f>
        <v>0</v>
      </c>
      <c r="S338" s="42" t="n">
        <f aca="false">ROUND(AC338-I338,2)</f>
        <v>0</v>
      </c>
      <c r="T338" s="42" t="n">
        <f aca="false">ROUND(AD338-J338,2)</f>
        <v>0</v>
      </c>
      <c r="U338" s="42" t="n">
        <f aca="false">ROUND(AE338-K338,2)</f>
        <v>0</v>
      </c>
      <c r="V338" s="42" t="n">
        <f aca="false">ROUND(AF338-L338,2)</f>
        <v>0</v>
      </c>
      <c r="W338" s="42" t="n">
        <f aca="false">ROUND(AG338-M338,2)</f>
        <v>0</v>
      </c>
      <c r="X338" s="42" t="n">
        <f aca="false">ROUND(AH338-N338,2)</f>
        <v>0</v>
      </c>
      <c r="Y338" s="42" t="n">
        <f aca="false">ROUND(AI338-O338,2)</f>
        <v>0</v>
      </c>
      <c r="Z338" s="56" t="n">
        <f aca="false">ROUND(P337*(1+N(Debts!$D$5)/12),2)</f>
        <v>0</v>
      </c>
      <c r="AA338" s="56" t="n">
        <f aca="false">ROUND(Q337*(1+N(Debts!$D$6)/12),2)</f>
        <v>0</v>
      </c>
      <c r="AB338" s="56" t="n">
        <f aca="false">ROUND(R337*(1+N(Debts!$D$7)/12),2)</f>
        <v>0</v>
      </c>
      <c r="AC338" s="56" t="n">
        <f aca="false">ROUND(S337*(1+N(Debts!$D$8)/12),2)</f>
        <v>0</v>
      </c>
      <c r="AD338" s="56" t="n">
        <f aca="false">ROUND(T337*(1+N(Debts!$D$9)/12),2)</f>
        <v>0</v>
      </c>
      <c r="AE338" s="56" t="n">
        <f aca="false">ROUND(U337*(1+N(Debts!$D$10)/12),2)</f>
        <v>0</v>
      </c>
      <c r="AF338" s="56" t="n">
        <f aca="false">ROUND(V337*(1+N(Debts!$D$11)/12),2)</f>
        <v>0</v>
      </c>
      <c r="AG338" s="56" t="n">
        <f aca="false">ROUND(W337*(1+N(Debts!$D$12)/12),2)</f>
        <v>0</v>
      </c>
      <c r="AH338" s="56" t="n">
        <f aca="false">ROUND(X337*(1+N(Debts!$D$13)/12),2)</f>
        <v>0</v>
      </c>
      <c r="AI338" s="56" t="n">
        <f aca="false">ROUND(Y337*(1+N(Debts!$D$14)/12),2)</f>
        <v>0</v>
      </c>
      <c r="AJ338" s="56" t="n">
        <f aca="false">MIN(Z338,MAX(0,N(Debts!$E$5)))</f>
        <v>0</v>
      </c>
      <c r="AK338" s="56" t="n">
        <f aca="false">MIN(AA338,MAX(0,N(Debts!$E$6)))</f>
        <v>0</v>
      </c>
      <c r="AL338" s="56" t="n">
        <f aca="false">MIN(AB338,MAX(0,N(Debts!$E$7)))</f>
        <v>0</v>
      </c>
      <c r="AM338" s="56" t="n">
        <f aca="false">MIN(AC338,MAX(0,N(Debts!$E$8)))</f>
        <v>0</v>
      </c>
      <c r="AN338" s="56" t="n">
        <f aca="false">MIN(AD338,MAX(0,N(Debts!$E$9)))</f>
        <v>0</v>
      </c>
      <c r="AO338" s="56" t="n">
        <f aca="false">MIN(AE338,MAX(0,N(Debts!$E$10)))</f>
        <v>0</v>
      </c>
      <c r="AP338" s="56" t="n">
        <f aca="false">MIN(AF338,MAX(0,N(Debts!$E$11)))</f>
        <v>0</v>
      </c>
      <c r="AQ338" s="56" t="n">
        <f aca="false">MIN(AG338,MAX(0,N(Debts!$E$12)))</f>
        <v>0</v>
      </c>
      <c r="AR338" s="56" t="n">
        <f aca="false">MIN(AH338,MAX(0,N(Debts!$E$13)))</f>
        <v>0</v>
      </c>
      <c r="AS338" s="56" t="n">
        <f aca="false">MIN(AI338,MAX(0,N(Debts!$E$14)))</f>
        <v>0</v>
      </c>
    </row>
    <row r="339" customFormat="false" ht="15" hidden="false" customHeight="false" outlineLevel="0" collapsed="false">
      <c r="A339" s="53" t="n">
        <v>335</v>
      </c>
      <c r="B339" s="54" t="n">
        <f aca="false">EDATE('Start Here'!$B$8,334)</f>
        <v>56493</v>
      </c>
      <c r="C339" s="42" t="n">
        <f aca="false">SUM(F339:O339)</f>
        <v>0</v>
      </c>
      <c r="D339" s="42" t="n">
        <f aca="false">ROUND(SUM($Z339:$AI339)-SUM(P338:Y338),2)</f>
        <v>0</v>
      </c>
      <c r="E339" s="55" t="n">
        <f aca="false">SUM(P339:Y339)</f>
        <v>0</v>
      </c>
      <c r="F339" s="42" t="n">
        <f aca="false">AJ339+MIN(Z339-AJ339,MAX(0,'Start Here'!$B$10-SUM($AJ339:$AS339)-SUMPRODUCT(($Z$3:$AI$3&lt;Z$3)*($Z339:$AI339-$AJ339:$AS339))))</f>
        <v>0</v>
      </c>
      <c r="G339" s="42" t="n">
        <f aca="false">AK339+MIN(AA339-AK339,MAX(0,'Start Here'!$B$10-SUM($AJ339:$AS339)-SUMPRODUCT(($Z$3:$AI$3&lt;AA$3)*($Z339:$AI339-$AJ339:$AS339))))</f>
        <v>0</v>
      </c>
      <c r="H339" s="42" t="n">
        <f aca="false">AL339+MIN(AB339-AL339,MAX(0,'Start Here'!$B$10-SUM($AJ339:$AS339)-SUMPRODUCT(($Z$3:$AI$3&lt;AB$3)*($Z339:$AI339-$AJ339:$AS339))))</f>
        <v>0</v>
      </c>
      <c r="I339" s="42" t="n">
        <f aca="false">AM339+MIN(AC339-AM339,MAX(0,'Start Here'!$B$10-SUM($AJ339:$AS339)-SUMPRODUCT(($Z$3:$AI$3&lt;AC$3)*($Z339:$AI339-$AJ339:$AS339))))</f>
        <v>0</v>
      </c>
      <c r="J339" s="42" t="n">
        <f aca="false">AN339+MIN(AD339-AN339,MAX(0,'Start Here'!$B$10-SUM($AJ339:$AS339)-SUMPRODUCT(($Z$3:$AI$3&lt;AD$3)*($Z339:$AI339-$AJ339:$AS339))))</f>
        <v>0</v>
      </c>
      <c r="K339" s="42" t="n">
        <f aca="false">AO339+MIN(AE339-AO339,MAX(0,'Start Here'!$B$10-SUM($AJ339:$AS339)-SUMPRODUCT(($Z$3:$AI$3&lt;AE$3)*($Z339:$AI339-$AJ339:$AS339))))</f>
        <v>0</v>
      </c>
      <c r="L339" s="42" t="n">
        <f aca="false">AP339+MIN(AF339-AP339,MAX(0,'Start Here'!$B$10-SUM($AJ339:$AS339)-SUMPRODUCT(($Z$3:$AI$3&lt;AF$3)*($Z339:$AI339-$AJ339:$AS339))))</f>
        <v>0</v>
      </c>
      <c r="M339" s="42" t="n">
        <f aca="false">AQ339+MIN(AG339-AQ339,MAX(0,'Start Here'!$B$10-SUM($AJ339:$AS339)-SUMPRODUCT(($Z$3:$AI$3&lt;AG$3)*($Z339:$AI339-$AJ339:$AS339))))</f>
        <v>0</v>
      </c>
      <c r="N339" s="42" t="n">
        <f aca="false">AR339+MIN(AH339-AR339,MAX(0,'Start Here'!$B$10-SUM($AJ339:$AS339)-SUMPRODUCT(($Z$3:$AI$3&lt;AH$3)*($Z339:$AI339-$AJ339:$AS339))))</f>
        <v>0</v>
      </c>
      <c r="O339" s="42" t="n">
        <f aca="false">AS339+MIN(AI339-AS339,MAX(0,'Start Here'!$B$10-SUM($AJ339:$AS339)-SUMPRODUCT(($Z$3:$AI$3&lt;AI$3)*($Z339:$AI339-$AJ339:$AS339))))</f>
        <v>0</v>
      </c>
      <c r="P339" s="42" t="n">
        <f aca="false">ROUND(Z339-F339,2)</f>
        <v>0</v>
      </c>
      <c r="Q339" s="42" t="n">
        <f aca="false">ROUND(AA339-G339,2)</f>
        <v>0</v>
      </c>
      <c r="R339" s="42" t="n">
        <f aca="false">ROUND(AB339-H339,2)</f>
        <v>0</v>
      </c>
      <c r="S339" s="42" t="n">
        <f aca="false">ROUND(AC339-I339,2)</f>
        <v>0</v>
      </c>
      <c r="T339" s="42" t="n">
        <f aca="false">ROUND(AD339-J339,2)</f>
        <v>0</v>
      </c>
      <c r="U339" s="42" t="n">
        <f aca="false">ROUND(AE339-K339,2)</f>
        <v>0</v>
      </c>
      <c r="V339" s="42" t="n">
        <f aca="false">ROUND(AF339-L339,2)</f>
        <v>0</v>
      </c>
      <c r="W339" s="42" t="n">
        <f aca="false">ROUND(AG339-M339,2)</f>
        <v>0</v>
      </c>
      <c r="X339" s="42" t="n">
        <f aca="false">ROUND(AH339-N339,2)</f>
        <v>0</v>
      </c>
      <c r="Y339" s="42" t="n">
        <f aca="false">ROUND(AI339-O339,2)</f>
        <v>0</v>
      </c>
      <c r="Z339" s="56" t="n">
        <f aca="false">ROUND(P338*(1+N(Debts!$D$5)/12),2)</f>
        <v>0</v>
      </c>
      <c r="AA339" s="56" t="n">
        <f aca="false">ROUND(Q338*(1+N(Debts!$D$6)/12),2)</f>
        <v>0</v>
      </c>
      <c r="AB339" s="56" t="n">
        <f aca="false">ROUND(R338*(1+N(Debts!$D$7)/12),2)</f>
        <v>0</v>
      </c>
      <c r="AC339" s="56" t="n">
        <f aca="false">ROUND(S338*(1+N(Debts!$D$8)/12),2)</f>
        <v>0</v>
      </c>
      <c r="AD339" s="56" t="n">
        <f aca="false">ROUND(T338*(1+N(Debts!$D$9)/12),2)</f>
        <v>0</v>
      </c>
      <c r="AE339" s="56" t="n">
        <f aca="false">ROUND(U338*(1+N(Debts!$D$10)/12),2)</f>
        <v>0</v>
      </c>
      <c r="AF339" s="56" t="n">
        <f aca="false">ROUND(V338*(1+N(Debts!$D$11)/12),2)</f>
        <v>0</v>
      </c>
      <c r="AG339" s="56" t="n">
        <f aca="false">ROUND(W338*(1+N(Debts!$D$12)/12),2)</f>
        <v>0</v>
      </c>
      <c r="AH339" s="56" t="n">
        <f aca="false">ROUND(X338*(1+N(Debts!$D$13)/12),2)</f>
        <v>0</v>
      </c>
      <c r="AI339" s="56" t="n">
        <f aca="false">ROUND(Y338*(1+N(Debts!$D$14)/12),2)</f>
        <v>0</v>
      </c>
      <c r="AJ339" s="56" t="n">
        <f aca="false">MIN(Z339,MAX(0,N(Debts!$E$5)))</f>
        <v>0</v>
      </c>
      <c r="AK339" s="56" t="n">
        <f aca="false">MIN(AA339,MAX(0,N(Debts!$E$6)))</f>
        <v>0</v>
      </c>
      <c r="AL339" s="56" t="n">
        <f aca="false">MIN(AB339,MAX(0,N(Debts!$E$7)))</f>
        <v>0</v>
      </c>
      <c r="AM339" s="56" t="n">
        <f aca="false">MIN(AC339,MAX(0,N(Debts!$E$8)))</f>
        <v>0</v>
      </c>
      <c r="AN339" s="56" t="n">
        <f aca="false">MIN(AD339,MAX(0,N(Debts!$E$9)))</f>
        <v>0</v>
      </c>
      <c r="AO339" s="56" t="n">
        <f aca="false">MIN(AE339,MAX(0,N(Debts!$E$10)))</f>
        <v>0</v>
      </c>
      <c r="AP339" s="56" t="n">
        <f aca="false">MIN(AF339,MAX(0,N(Debts!$E$11)))</f>
        <v>0</v>
      </c>
      <c r="AQ339" s="56" t="n">
        <f aca="false">MIN(AG339,MAX(0,N(Debts!$E$12)))</f>
        <v>0</v>
      </c>
      <c r="AR339" s="56" t="n">
        <f aca="false">MIN(AH339,MAX(0,N(Debts!$E$13)))</f>
        <v>0</v>
      </c>
      <c r="AS339" s="56" t="n">
        <f aca="false">MIN(AI339,MAX(0,N(Debts!$E$14)))</f>
        <v>0</v>
      </c>
    </row>
    <row r="340" customFormat="false" ht="15" hidden="false" customHeight="false" outlineLevel="0" collapsed="false">
      <c r="A340" s="53" t="n">
        <v>336</v>
      </c>
      <c r="B340" s="54" t="n">
        <f aca="false">EDATE('Start Here'!$B$8,335)</f>
        <v>56523</v>
      </c>
      <c r="C340" s="42" t="n">
        <f aca="false">SUM(F340:O340)</f>
        <v>0</v>
      </c>
      <c r="D340" s="42" t="n">
        <f aca="false">ROUND(SUM($Z340:$AI340)-SUM(P339:Y339),2)</f>
        <v>0</v>
      </c>
      <c r="E340" s="55" t="n">
        <f aca="false">SUM(P340:Y340)</f>
        <v>0</v>
      </c>
      <c r="F340" s="42" t="n">
        <f aca="false">AJ340+MIN(Z340-AJ340,MAX(0,'Start Here'!$B$10-SUM($AJ340:$AS340)-SUMPRODUCT(($Z$3:$AI$3&lt;Z$3)*($Z340:$AI340-$AJ340:$AS340))))</f>
        <v>0</v>
      </c>
      <c r="G340" s="42" t="n">
        <f aca="false">AK340+MIN(AA340-AK340,MAX(0,'Start Here'!$B$10-SUM($AJ340:$AS340)-SUMPRODUCT(($Z$3:$AI$3&lt;AA$3)*($Z340:$AI340-$AJ340:$AS340))))</f>
        <v>0</v>
      </c>
      <c r="H340" s="42" t="n">
        <f aca="false">AL340+MIN(AB340-AL340,MAX(0,'Start Here'!$B$10-SUM($AJ340:$AS340)-SUMPRODUCT(($Z$3:$AI$3&lt;AB$3)*($Z340:$AI340-$AJ340:$AS340))))</f>
        <v>0</v>
      </c>
      <c r="I340" s="42" t="n">
        <f aca="false">AM340+MIN(AC340-AM340,MAX(0,'Start Here'!$B$10-SUM($AJ340:$AS340)-SUMPRODUCT(($Z$3:$AI$3&lt;AC$3)*($Z340:$AI340-$AJ340:$AS340))))</f>
        <v>0</v>
      </c>
      <c r="J340" s="42" t="n">
        <f aca="false">AN340+MIN(AD340-AN340,MAX(0,'Start Here'!$B$10-SUM($AJ340:$AS340)-SUMPRODUCT(($Z$3:$AI$3&lt;AD$3)*($Z340:$AI340-$AJ340:$AS340))))</f>
        <v>0</v>
      </c>
      <c r="K340" s="42" t="n">
        <f aca="false">AO340+MIN(AE340-AO340,MAX(0,'Start Here'!$B$10-SUM($AJ340:$AS340)-SUMPRODUCT(($Z$3:$AI$3&lt;AE$3)*($Z340:$AI340-$AJ340:$AS340))))</f>
        <v>0</v>
      </c>
      <c r="L340" s="42" t="n">
        <f aca="false">AP340+MIN(AF340-AP340,MAX(0,'Start Here'!$B$10-SUM($AJ340:$AS340)-SUMPRODUCT(($Z$3:$AI$3&lt;AF$3)*($Z340:$AI340-$AJ340:$AS340))))</f>
        <v>0</v>
      </c>
      <c r="M340" s="42" t="n">
        <f aca="false">AQ340+MIN(AG340-AQ340,MAX(0,'Start Here'!$B$10-SUM($AJ340:$AS340)-SUMPRODUCT(($Z$3:$AI$3&lt;AG$3)*($Z340:$AI340-$AJ340:$AS340))))</f>
        <v>0</v>
      </c>
      <c r="N340" s="42" t="n">
        <f aca="false">AR340+MIN(AH340-AR340,MAX(0,'Start Here'!$B$10-SUM($AJ340:$AS340)-SUMPRODUCT(($Z$3:$AI$3&lt;AH$3)*($Z340:$AI340-$AJ340:$AS340))))</f>
        <v>0</v>
      </c>
      <c r="O340" s="42" t="n">
        <f aca="false">AS340+MIN(AI340-AS340,MAX(0,'Start Here'!$B$10-SUM($AJ340:$AS340)-SUMPRODUCT(($Z$3:$AI$3&lt;AI$3)*($Z340:$AI340-$AJ340:$AS340))))</f>
        <v>0</v>
      </c>
      <c r="P340" s="42" t="n">
        <f aca="false">ROUND(Z340-F340,2)</f>
        <v>0</v>
      </c>
      <c r="Q340" s="42" t="n">
        <f aca="false">ROUND(AA340-G340,2)</f>
        <v>0</v>
      </c>
      <c r="R340" s="42" t="n">
        <f aca="false">ROUND(AB340-H340,2)</f>
        <v>0</v>
      </c>
      <c r="S340" s="42" t="n">
        <f aca="false">ROUND(AC340-I340,2)</f>
        <v>0</v>
      </c>
      <c r="T340" s="42" t="n">
        <f aca="false">ROUND(AD340-J340,2)</f>
        <v>0</v>
      </c>
      <c r="U340" s="42" t="n">
        <f aca="false">ROUND(AE340-K340,2)</f>
        <v>0</v>
      </c>
      <c r="V340" s="42" t="n">
        <f aca="false">ROUND(AF340-L340,2)</f>
        <v>0</v>
      </c>
      <c r="W340" s="42" t="n">
        <f aca="false">ROUND(AG340-M340,2)</f>
        <v>0</v>
      </c>
      <c r="X340" s="42" t="n">
        <f aca="false">ROUND(AH340-N340,2)</f>
        <v>0</v>
      </c>
      <c r="Y340" s="42" t="n">
        <f aca="false">ROUND(AI340-O340,2)</f>
        <v>0</v>
      </c>
      <c r="Z340" s="56" t="n">
        <f aca="false">ROUND(P339*(1+N(Debts!$D$5)/12),2)</f>
        <v>0</v>
      </c>
      <c r="AA340" s="56" t="n">
        <f aca="false">ROUND(Q339*(1+N(Debts!$D$6)/12),2)</f>
        <v>0</v>
      </c>
      <c r="AB340" s="56" t="n">
        <f aca="false">ROUND(R339*(1+N(Debts!$D$7)/12),2)</f>
        <v>0</v>
      </c>
      <c r="AC340" s="56" t="n">
        <f aca="false">ROUND(S339*(1+N(Debts!$D$8)/12),2)</f>
        <v>0</v>
      </c>
      <c r="AD340" s="56" t="n">
        <f aca="false">ROUND(T339*(1+N(Debts!$D$9)/12),2)</f>
        <v>0</v>
      </c>
      <c r="AE340" s="56" t="n">
        <f aca="false">ROUND(U339*(1+N(Debts!$D$10)/12),2)</f>
        <v>0</v>
      </c>
      <c r="AF340" s="56" t="n">
        <f aca="false">ROUND(V339*(1+N(Debts!$D$11)/12),2)</f>
        <v>0</v>
      </c>
      <c r="AG340" s="56" t="n">
        <f aca="false">ROUND(W339*(1+N(Debts!$D$12)/12),2)</f>
        <v>0</v>
      </c>
      <c r="AH340" s="56" t="n">
        <f aca="false">ROUND(X339*(1+N(Debts!$D$13)/12),2)</f>
        <v>0</v>
      </c>
      <c r="AI340" s="56" t="n">
        <f aca="false">ROUND(Y339*(1+N(Debts!$D$14)/12),2)</f>
        <v>0</v>
      </c>
      <c r="AJ340" s="56" t="n">
        <f aca="false">MIN(Z340,MAX(0,N(Debts!$E$5)))</f>
        <v>0</v>
      </c>
      <c r="AK340" s="56" t="n">
        <f aca="false">MIN(AA340,MAX(0,N(Debts!$E$6)))</f>
        <v>0</v>
      </c>
      <c r="AL340" s="56" t="n">
        <f aca="false">MIN(AB340,MAX(0,N(Debts!$E$7)))</f>
        <v>0</v>
      </c>
      <c r="AM340" s="56" t="n">
        <f aca="false">MIN(AC340,MAX(0,N(Debts!$E$8)))</f>
        <v>0</v>
      </c>
      <c r="AN340" s="56" t="n">
        <f aca="false">MIN(AD340,MAX(0,N(Debts!$E$9)))</f>
        <v>0</v>
      </c>
      <c r="AO340" s="56" t="n">
        <f aca="false">MIN(AE340,MAX(0,N(Debts!$E$10)))</f>
        <v>0</v>
      </c>
      <c r="AP340" s="56" t="n">
        <f aca="false">MIN(AF340,MAX(0,N(Debts!$E$11)))</f>
        <v>0</v>
      </c>
      <c r="AQ340" s="56" t="n">
        <f aca="false">MIN(AG340,MAX(0,N(Debts!$E$12)))</f>
        <v>0</v>
      </c>
      <c r="AR340" s="56" t="n">
        <f aca="false">MIN(AH340,MAX(0,N(Debts!$E$13)))</f>
        <v>0</v>
      </c>
      <c r="AS340" s="56" t="n">
        <f aca="false">MIN(AI340,MAX(0,N(Debts!$E$14)))</f>
        <v>0</v>
      </c>
    </row>
    <row r="341" customFormat="false" ht="15" hidden="false" customHeight="false" outlineLevel="0" collapsed="false">
      <c r="A341" s="53" t="n">
        <v>337</v>
      </c>
      <c r="B341" s="54" t="n">
        <f aca="false">EDATE('Start Here'!$B$8,336)</f>
        <v>56554</v>
      </c>
      <c r="C341" s="42" t="n">
        <f aca="false">SUM(F341:O341)</f>
        <v>0</v>
      </c>
      <c r="D341" s="42" t="n">
        <f aca="false">ROUND(SUM($Z341:$AI341)-SUM(P340:Y340),2)</f>
        <v>0</v>
      </c>
      <c r="E341" s="55" t="n">
        <f aca="false">SUM(P341:Y341)</f>
        <v>0</v>
      </c>
      <c r="F341" s="42" t="n">
        <f aca="false">AJ341+MIN(Z341-AJ341,MAX(0,'Start Here'!$B$10-SUM($AJ341:$AS341)-SUMPRODUCT(($Z$3:$AI$3&lt;Z$3)*($Z341:$AI341-$AJ341:$AS341))))</f>
        <v>0</v>
      </c>
      <c r="G341" s="42" t="n">
        <f aca="false">AK341+MIN(AA341-AK341,MAX(0,'Start Here'!$B$10-SUM($AJ341:$AS341)-SUMPRODUCT(($Z$3:$AI$3&lt;AA$3)*($Z341:$AI341-$AJ341:$AS341))))</f>
        <v>0</v>
      </c>
      <c r="H341" s="42" t="n">
        <f aca="false">AL341+MIN(AB341-AL341,MAX(0,'Start Here'!$B$10-SUM($AJ341:$AS341)-SUMPRODUCT(($Z$3:$AI$3&lt;AB$3)*($Z341:$AI341-$AJ341:$AS341))))</f>
        <v>0</v>
      </c>
      <c r="I341" s="42" t="n">
        <f aca="false">AM341+MIN(AC341-AM341,MAX(0,'Start Here'!$B$10-SUM($AJ341:$AS341)-SUMPRODUCT(($Z$3:$AI$3&lt;AC$3)*($Z341:$AI341-$AJ341:$AS341))))</f>
        <v>0</v>
      </c>
      <c r="J341" s="42" t="n">
        <f aca="false">AN341+MIN(AD341-AN341,MAX(0,'Start Here'!$B$10-SUM($AJ341:$AS341)-SUMPRODUCT(($Z$3:$AI$3&lt;AD$3)*($Z341:$AI341-$AJ341:$AS341))))</f>
        <v>0</v>
      </c>
      <c r="K341" s="42" t="n">
        <f aca="false">AO341+MIN(AE341-AO341,MAX(0,'Start Here'!$B$10-SUM($AJ341:$AS341)-SUMPRODUCT(($Z$3:$AI$3&lt;AE$3)*($Z341:$AI341-$AJ341:$AS341))))</f>
        <v>0</v>
      </c>
      <c r="L341" s="42" t="n">
        <f aca="false">AP341+MIN(AF341-AP341,MAX(0,'Start Here'!$B$10-SUM($AJ341:$AS341)-SUMPRODUCT(($Z$3:$AI$3&lt;AF$3)*($Z341:$AI341-$AJ341:$AS341))))</f>
        <v>0</v>
      </c>
      <c r="M341" s="42" t="n">
        <f aca="false">AQ341+MIN(AG341-AQ341,MAX(0,'Start Here'!$B$10-SUM($AJ341:$AS341)-SUMPRODUCT(($Z$3:$AI$3&lt;AG$3)*($Z341:$AI341-$AJ341:$AS341))))</f>
        <v>0</v>
      </c>
      <c r="N341" s="42" t="n">
        <f aca="false">AR341+MIN(AH341-AR341,MAX(0,'Start Here'!$B$10-SUM($AJ341:$AS341)-SUMPRODUCT(($Z$3:$AI$3&lt;AH$3)*($Z341:$AI341-$AJ341:$AS341))))</f>
        <v>0</v>
      </c>
      <c r="O341" s="42" t="n">
        <f aca="false">AS341+MIN(AI341-AS341,MAX(0,'Start Here'!$B$10-SUM($AJ341:$AS341)-SUMPRODUCT(($Z$3:$AI$3&lt;AI$3)*($Z341:$AI341-$AJ341:$AS341))))</f>
        <v>0</v>
      </c>
      <c r="P341" s="42" t="n">
        <f aca="false">ROUND(Z341-F341,2)</f>
        <v>0</v>
      </c>
      <c r="Q341" s="42" t="n">
        <f aca="false">ROUND(AA341-G341,2)</f>
        <v>0</v>
      </c>
      <c r="R341" s="42" t="n">
        <f aca="false">ROUND(AB341-H341,2)</f>
        <v>0</v>
      </c>
      <c r="S341" s="42" t="n">
        <f aca="false">ROUND(AC341-I341,2)</f>
        <v>0</v>
      </c>
      <c r="T341" s="42" t="n">
        <f aca="false">ROUND(AD341-J341,2)</f>
        <v>0</v>
      </c>
      <c r="U341" s="42" t="n">
        <f aca="false">ROUND(AE341-K341,2)</f>
        <v>0</v>
      </c>
      <c r="V341" s="42" t="n">
        <f aca="false">ROUND(AF341-L341,2)</f>
        <v>0</v>
      </c>
      <c r="W341" s="42" t="n">
        <f aca="false">ROUND(AG341-M341,2)</f>
        <v>0</v>
      </c>
      <c r="X341" s="42" t="n">
        <f aca="false">ROUND(AH341-N341,2)</f>
        <v>0</v>
      </c>
      <c r="Y341" s="42" t="n">
        <f aca="false">ROUND(AI341-O341,2)</f>
        <v>0</v>
      </c>
      <c r="Z341" s="56" t="n">
        <f aca="false">ROUND(P340*(1+N(Debts!$D$5)/12),2)</f>
        <v>0</v>
      </c>
      <c r="AA341" s="56" t="n">
        <f aca="false">ROUND(Q340*(1+N(Debts!$D$6)/12),2)</f>
        <v>0</v>
      </c>
      <c r="AB341" s="56" t="n">
        <f aca="false">ROUND(R340*(1+N(Debts!$D$7)/12),2)</f>
        <v>0</v>
      </c>
      <c r="AC341" s="56" t="n">
        <f aca="false">ROUND(S340*(1+N(Debts!$D$8)/12),2)</f>
        <v>0</v>
      </c>
      <c r="AD341" s="56" t="n">
        <f aca="false">ROUND(T340*(1+N(Debts!$D$9)/12),2)</f>
        <v>0</v>
      </c>
      <c r="AE341" s="56" t="n">
        <f aca="false">ROUND(U340*(1+N(Debts!$D$10)/12),2)</f>
        <v>0</v>
      </c>
      <c r="AF341" s="56" t="n">
        <f aca="false">ROUND(V340*(1+N(Debts!$D$11)/12),2)</f>
        <v>0</v>
      </c>
      <c r="AG341" s="56" t="n">
        <f aca="false">ROUND(W340*(1+N(Debts!$D$12)/12),2)</f>
        <v>0</v>
      </c>
      <c r="AH341" s="56" t="n">
        <f aca="false">ROUND(X340*(1+N(Debts!$D$13)/12),2)</f>
        <v>0</v>
      </c>
      <c r="AI341" s="56" t="n">
        <f aca="false">ROUND(Y340*(1+N(Debts!$D$14)/12),2)</f>
        <v>0</v>
      </c>
      <c r="AJ341" s="56" t="n">
        <f aca="false">MIN(Z341,MAX(0,N(Debts!$E$5)))</f>
        <v>0</v>
      </c>
      <c r="AK341" s="56" t="n">
        <f aca="false">MIN(AA341,MAX(0,N(Debts!$E$6)))</f>
        <v>0</v>
      </c>
      <c r="AL341" s="56" t="n">
        <f aca="false">MIN(AB341,MAX(0,N(Debts!$E$7)))</f>
        <v>0</v>
      </c>
      <c r="AM341" s="56" t="n">
        <f aca="false">MIN(AC341,MAX(0,N(Debts!$E$8)))</f>
        <v>0</v>
      </c>
      <c r="AN341" s="56" t="n">
        <f aca="false">MIN(AD341,MAX(0,N(Debts!$E$9)))</f>
        <v>0</v>
      </c>
      <c r="AO341" s="56" t="n">
        <f aca="false">MIN(AE341,MAX(0,N(Debts!$E$10)))</f>
        <v>0</v>
      </c>
      <c r="AP341" s="56" t="n">
        <f aca="false">MIN(AF341,MAX(0,N(Debts!$E$11)))</f>
        <v>0</v>
      </c>
      <c r="AQ341" s="56" t="n">
        <f aca="false">MIN(AG341,MAX(0,N(Debts!$E$12)))</f>
        <v>0</v>
      </c>
      <c r="AR341" s="56" t="n">
        <f aca="false">MIN(AH341,MAX(0,N(Debts!$E$13)))</f>
        <v>0</v>
      </c>
      <c r="AS341" s="56" t="n">
        <f aca="false">MIN(AI341,MAX(0,N(Debts!$E$14)))</f>
        <v>0</v>
      </c>
    </row>
    <row r="342" customFormat="false" ht="15" hidden="false" customHeight="false" outlineLevel="0" collapsed="false">
      <c r="A342" s="53" t="n">
        <v>338</v>
      </c>
      <c r="B342" s="54" t="n">
        <f aca="false">EDATE('Start Here'!$B$8,337)</f>
        <v>56584</v>
      </c>
      <c r="C342" s="42" t="n">
        <f aca="false">SUM(F342:O342)</f>
        <v>0</v>
      </c>
      <c r="D342" s="42" t="n">
        <f aca="false">ROUND(SUM($Z342:$AI342)-SUM(P341:Y341),2)</f>
        <v>0</v>
      </c>
      <c r="E342" s="55" t="n">
        <f aca="false">SUM(P342:Y342)</f>
        <v>0</v>
      </c>
      <c r="F342" s="42" t="n">
        <f aca="false">AJ342+MIN(Z342-AJ342,MAX(0,'Start Here'!$B$10-SUM($AJ342:$AS342)-SUMPRODUCT(($Z$3:$AI$3&lt;Z$3)*($Z342:$AI342-$AJ342:$AS342))))</f>
        <v>0</v>
      </c>
      <c r="G342" s="42" t="n">
        <f aca="false">AK342+MIN(AA342-AK342,MAX(0,'Start Here'!$B$10-SUM($AJ342:$AS342)-SUMPRODUCT(($Z$3:$AI$3&lt;AA$3)*($Z342:$AI342-$AJ342:$AS342))))</f>
        <v>0</v>
      </c>
      <c r="H342" s="42" t="n">
        <f aca="false">AL342+MIN(AB342-AL342,MAX(0,'Start Here'!$B$10-SUM($AJ342:$AS342)-SUMPRODUCT(($Z$3:$AI$3&lt;AB$3)*($Z342:$AI342-$AJ342:$AS342))))</f>
        <v>0</v>
      </c>
      <c r="I342" s="42" t="n">
        <f aca="false">AM342+MIN(AC342-AM342,MAX(0,'Start Here'!$B$10-SUM($AJ342:$AS342)-SUMPRODUCT(($Z$3:$AI$3&lt;AC$3)*($Z342:$AI342-$AJ342:$AS342))))</f>
        <v>0</v>
      </c>
      <c r="J342" s="42" t="n">
        <f aca="false">AN342+MIN(AD342-AN342,MAX(0,'Start Here'!$B$10-SUM($AJ342:$AS342)-SUMPRODUCT(($Z$3:$AI$3&lt;AD$3)*($Z342:$AI342-$AJ342:$AS342))))</f>
        <v>0</v>
      </c>
      <c r="K342" s="42" t="n">
        <f aca="false">AO342+MIN(AE342-AO342,MAX(0,'Start Here'!$B$10-SUM($AJ342:$AS342)-SUMPRODUCT(($Z$3:$AI$3&lt;AE$3)*($Z342:$AI342-$AJ342:$AS342))))</f>
        <v>0</v>
      </c>
      <c r="L342" s="42" t="n">
        <f aca="false">AP342+MIN(AF342-AP342,MAX(0,'Start Here'!$B$10-SUM($AJ342:$AS342)-SUMPRODUCT(($Z$3:$AI$3&lt;AF$3)*($Z342:$AI342-$AJ342:$AS342))))</f>
        <v>0</v>
      </c>
      <c r="M342" s="42" t="n">
        <f aca="false">AQ342+MIN(AG342-AQ342,MAX(0,'Start Here'!$B$10-SUM($AJ342:$AS342)-SUMPRODUCT(($Z$3:$AI$3&lt;AG$3)*($Z342:$AI342-$AJ342:$AS342))))</f>
        <v>0</v>
      </c>
      <c r="N342" s="42" t="n">
        <f aca="false">AR342+MIN(AH342-AR342,MAX(0,'Start Here'!$B$10-SUM($AJ342:$AS342)-SUMPRODUCT(($Z$3:$AI$3&lt;AH$3)*($Z342:$AI342-$AJ342:$AS342))))</f>
        <v>0</v>
      </c>
      <c r="O342" s="42" t="n">
        <f aca="false">AS342+MIN(AI342-AS342,MAX(0,'Start Here'!$B$10-SUM($AJ342:$AS342)-SUMPRODUCT(($Z$3:$AI$3&lt;AI$3)*($Z342:$AI342-$AJ342:$AS342))))</f>
        <v>0</v>
      </c>
      <c r="P342" s="42" t="n">
        <f aca="false">ROUND(Z342-F342,2)</f>
        <v>0</v>
      </c>
      <c r="Q342" s="42" t="n">
        <f aca="false">ROUND(AA342-G342,2)</f>
        <v>0</v>
      </c>
      <c r="R342" s="42" t="n">
        <f aca="false">ROUND(AB342-H342,2)</f>
        <v>0</v>
      </c>
      <c r="S342" s="42" t="n">
        <f aca="false">ROUND(AC342-I342,2)</f>
        <v>0</v>
      </c>
      <c r="T342" s="42" t="n">
        <f aca="false">ROUND(AD342-J342,2)</f>
        <v>0</v>
      </c>
      <c r="U342" s="42" t="n">
        <f aca="false">ROUND(AE342-K342,2)</f>
        <v>0</v>
      </c>
      <c r="V342" s="42" t="n">
        <f aca="false">ROUND(AF342-L342,2)</f>
        <v>0</v>
      </c>
      <c r="W342" s="42" t="n">
        <f aca="false">ROUND(AG342-M342,2)</f>
        <v>0</v>
      </c>
      <c r="X342" s="42" t="n">
        <f aca="false">ROUND(AH342-N342,2)</f>
        <v>0</v>
      </c>
      <c r="Y342" s="42" t="n">
        <f aca="false">ROUND(AI342-O342,2)</f>
        <v>0</v>
      </c>
      <c r="Z342" s="56" t="n">
        <f aca="false">ROUND(P341*(1+N(Debts!$D$5)/12),2)</f>
        <v>0</v>
      </c>
      <c r="AA342" s="56" t="n">
        <f aca="false">ROUND(Q341*(1+N(Debts!$D$6)/12),2)</f>
        <v>0</v>
      </c>
      <c r="AB342" s="56" t="n">
        <f aca="false">ROUND(R341*(1+N(Debts!$D$7)/12),2)</f>
        <v>0</v>
      </c>
      <c r="AC342" s="56" t="n">
        <f aca="false">ROUND(S341*(1+N(Debts!$D$8)/12),2)</f>
        <v>0</v>
      </c>
      <c r="AD342" s="56" t="n">
        <f aca="false">ROUND(T341*(1+N(Debts!$D$9)/12),2)</f>
        <v>0</v>
      </c>
      <c r="AE342" s="56" t="n">
        <f aca="false">ROUND(U341*(1+N(Debts!$D$10)/12),2)</f>
        <v>0</v>
      </c>
      <c r="AF342" s="56" t="n">
        <f aca="false">ROUND(V341*(1+N(Debts!$D$11)/12),2)</f>
        <v>0</v>
      </c>
      <c r="AG342" s="56" t="n">
        <f aca="false">ROUND(W341*(1+N(Debts!$D$12)/12),2)</f>
        <v>0</v>
      </c>
      <c r="AH342" s="56" t="n">
        <f aca="false">ROUND(X341*(1+N(Debts!$D$13)/12),2)</f>
        <v>0</v>
      </c>
      <c r="AI342" s="56" t="n">
        <f aca="false">ROUND(Y341*(1+N(Debts!$D$14)/12),2)</f>
        <v>0</v>
      </c>
      <c r="AJ342" s="56" t="n">
        <f aca="false">MIN(Z342,MAX(0,N(Debts!$E$5)))</f>
        <v>0</v>
      </c>
      <c r="AK342" s="56" t="n">
        <f aca="false">MIN(AA342,MAX(0,N(Debts!$E$6)))</f>
        <v>0</v>
      </c>
      <c r="AL342" s="56" t="n">
        <f aca="false">MIN(AB342,MAX(0,N(Debts!$E$7)))</f>
        <v>0</v>
      </c>
      <c r="AM342" s="56" t="n">
        <f aca="false">MIN(AC342,MAX(0,N(Debts!$E$8)))</f>
        <v>0</v>
      </c>
      <c r="AN342" s="56" t="n">
        <f aca="false">MIN(AD342,MAX(0,N(Debts!$E$9)))</f>
        <v>0</v>
      </c>
      <c r="AO342" s="56" t="n">
        <f aca="false">MIN(AE342,MAX(0,N(Debts!$E$10)))</f>
        <v>0</v>
      </c>
      <c r="AP342" s="56" t="n">
        <f aca="false">MIN(AF342,MAX(0,N(Debts!$E$11)))</f>
        <v>0</v>
      </c>
      <c r="AQ342" s="56" t="n">
        <f aca="false">MIN(AG342,MAX(0,N(Debts!$E$12)))</f>
        <v>0</v>
      </c>
      <c r="AR342" s="56" t="n">
        <f aca="false">MIN(AH342,MAX(0,N(Debts!$E$13)))</f>
        <v>0</v>
      </c>
      <c r="AS342" s="56" t="n">
        <f aca="false">MIN(AI342,MAX(0,N(Debts!$E$14)))</f>
        <v>0</v>
      </c>
    </row>
    <row r="343" customFormat="false" ht="15" hidden="false" customHeight="false" outlineLevel="0" collapsed="false">
      <c r="A343" s="53" t="n">
        <v>339</v>
      </c>
      <c r="B343" s="54" t="n">
        <f aca="false">EDATE('Start Here'!$B$8,338)</f>
        <v>56615</v>
      </c>
      <c r="C343" s="42" t="n">
        <f aca="false">SUM(F343:O343)</f>
        <v>0</v>
      </c>
      <c r="D343" s="42" t="n">
        <f aca="false">ROUND(SUM($Z343:$AI343)-SUM(P342:Y342),2)</f>
        <v>0</v>
      </c>
      <c r="E343" s="55" t="n">
        <f aca="false">SUM(P343:Y343)</f>
        <v>0</v>
      </c>
      <c r="F343" s="42" t="n">
        <f aca="false">AJ343+MIN(Z343-AJ343,MAX(0,'Start Here'!$B$10-SUM($AJ343:$AS343)-SUMPRODUCT(($Z$3:$AI$3&lt;Z$3)*($Z343:$AI343-$AJ343:$AS343))))</f>
        <v>0</v>
      </c>
      <c r="G343" s="42" t="n">
        <f aca="false">AK343+MIN(AA343-AK343,MAX(0,'Start Here'!$B$10-SUM($AJ343:$AS343)-SUMPRODUCT(($Z$3:$AI$3&lt;AA$3)*($Z343:$AI343-$AJ343:$AS343))))</f>
        <v>0</v>
      </c>
      <c r="H343" s="42" t="n">
        <f aca="false">AL343+MIN(AB343-AL343,MAX(0,'Start Here'!$B$10-SUM($AJ343:$AS343)-SUMPRODUCT(($Z$3:$AI$3&lt;AB$3)*($Z343:$AI343-$AJ343:$AS343))))</f>
        <v>0</v>
      </c>
      <c r="I343" s="42" t="n">
        <f aca="false">AM343+MIN(AC343-AM343,MAX(0,'Start Here'!$B$10-SUM($AJ343:$AS343)-SUMPRODUCT(($Z$3:$AI$3&lt;AC$3)*($Z343:$AI343-$AJ343:$AS343))))</f>
        <v>0</v>
      </c>
      <c r="J343" s="42" t="n">
        <f aca="false">AN343+MIN(AD343-AN343,MAX(0,'Start Here'!$B$10-SUM($AJ343:$AS343)-SUMPRODUCT(($Z$3:$AI$3&lt;AD$3)*($Z343:$AI343-$AJ343:$AS343))))</f>
        <v>0</v>
      </c>
      <c r="K343" s="42" t="n">
        <f aca="false">AO343+MIN(AE343-AO343,MAX(0,'Start Here'!$B$10-SUM($AJ343:$AS343)-SUMPRODUCT(($Z$3:$AI$3&lt;AE$3)*($Z343:$AI343-$AJ343:$AS343))))</f>
        <v>0</v>
      </c>
      <c r="L343" s="42" t="n">
        <f aca="false">AP343+MIN(AF343-AP343,MAX(0,'Start Here'!$B$10-SUM($AJ343:$AS343)-SUMPRODUCT(($Z$3:$AI$3&lt;AF$3)*($Z343:$AI343-$AJ343:$AS343))))</f>
        <v>0</v>
      </c>
      <c r="M343" s="42" t="n">
        <f aca="false">AQ343+MIN(AG343-AQ343,MAX(0,'Start Here'!$B$10-SUM($AJ343:$AS343)-SUMPRODUCT(($Z$3:$AI$3&lt;AG$3)*($Z343:$AI343-$AJ343:$AS343))))</f>
        <v>0</v>
      </c>
      <c r="N343" s="42" t="n">
        <f aca="false">AR343+MIN(AH343-AR343,MAX(0,'Start Here'!$B$10-SUM($AJ343:$AS343)-SUMPRODUCT(($Z$3:$AI$3&lt;AH$3)*($Z343:$AI343-$AJ343:$AS343))))</f>
        <v>0</v>
      </c>
      <c r="O343" s="42" t="n">
        <f aca="false">AS343+MIN(AI343-AS343,MAX(0,'Start Here'!$B$10-SUM($AJ343:$AS343)-SUMPRODUCT(($Z$3:$AI$3&lt;AI$3)*($Z343:$AI343-$AJ343:$AS343))))</f>
        <v>0</v>
      </c>
      <c r="P343" s="42" t="n">
        <f aca="false">ROUND(Z343-F343,2)</f>
        <v>0</v>
      </c>
      <c r="Q343" s="42" t="n">
        <f aca="false">ROUND(AA343-G343,2)</f>
        <v>0</v>
      </c>
      <c r="R343" s="42" t="n">
        <f aca="false">ROUND(AB343-H343,2)</f>
        <v>0</v>
      </c>
      <c r="S343" s="42" t="n">
        <f aca="false">ROUND(AC343-I343,2)</f>
        <v>0</v>
      </c>
      <c r="T343" s="42" t="n">
        <f aca="false">ROUND(AD343-J343,2)</f>
        <v>0</v>
      </c>
      <c r="U343" s="42" t="n">
        <f aca="false">ROUND(AE343-K343,2)</f>
        <v>0</v>
      </c>
      <c r="V343" s="42" t="n">
        <f aca="false">ROUND(AF343-L343,2)</f>
        <v>0</v>
      </c>
      <c r="W343" s="42" t="n">
        <f aca="false">ROUND(AG343-M343,2)</f>
        <v>0</v>
      </c>
      <c r="X343" s="42" t="n">
        <f aca="false">ROUND(AH343-N343,2)</f>
        <v>0</v>
      </c>
      <c r="Y343" s="42" t="n">
        <f aca="false">ROUND(AI343-O343,2)</f>
        <v>0</v>
      </c>
      <c r="Z343" s="56" t="n">
        <f aca="false">ROUND(P342*(1+N(Debts!$D$5)/12),2)</f>
        <v>0</v>
      </c>
      <c r="AA343" s="56" t="n">
        <f aca="false">ROUND(Q342*(1+N(Debts!$D$6)/12),2)</f>
        <v>0</v>
      </c>
      <c r="AB343" s="56" t="n">
        <f aca="false">ROUND(R342*(1+N(Debts!$D$7)/12),2)</f>
        <v>0</v>
      </c>
      <c r="AC343" s="56" t="n">
        <f aca="false">ROUND(S342*(1+N(Debts!$D$8)/12),2)</f>
        <v>0</v>
      </c>
      <c r="AD343" s="56" t="n">
        <f aca="false">ROUND(T342*(1+N(Debts!$D$9)/12),2)</f>
        <v>0</v>
      </c>
      <c r="AE343" s="56" t="n">
        <f aca="false">ROUND(U342*(1+N(Debts!$D$10)/12),2)</f>
        <v>0</v>
      </c>
      <c r="AF343" s="56" t="n">
        <f aca="false">ROUND(V342*(1+N(Debts!$D$11)/12),2)</f>
        <v>0</v>
      </c>
      <c r="AG343" s="56" t="n">
        <f aca="false">ROUND(W342*(1+N(Debts!$D$12)/12),2)</f>
        <v>0</v>
      </c>
      <c r="AH343" s="56" t="n">
        <f aca="false">ROUND(X342*(1+N(Debts!$D$13)/12),2)</f>
        <v>0</v>
      </c>
      <c r="AI343" s="56" t="n">
        <f aca="false">ROUND(Y342*(1+N(Debts!$D$14)/12),2)</f>
        <v>0</v>
      </c>
      <c r="AJ343" s="56" t="n">
        <f aca="false">MIN(Z343,MAX(0,N(Debts!$E$5)))</f>
        <v>0</v>
      </c>
      <c r="AK343" s="56" t="n">
        <f aca="false">MIN(AA343,MAX(0,N(Debts!$E$6)))</f>
        <v>0</v>
      </c>
      <c r="AL343" s="56" t="n">
        <f aca="false">MIN(AB343,MAX(0,N(Debts!$E$7)))</f>
        <v>0</v>
      </c>
      <c r="AM343" s="56" t="n">
        <f aca="false">MIN(AC343,MAX(0,N(Debts!$E$8)))</f>
        <v>0</v>
      </c>
      <c r="AN343" s="56" t="n">
        <f aca="false">MIN(AD343,MAX(0,N(Debts!$E$9)))</f>
        <v>0</v>
      </c>
      <c r="AO343" s="56" t="n">
        <f aca="false">MIN(AE343,MAX(0,N(Debts!$E$10)))</f>
        <v>0</v>
      </c>
      <c r="AP343" s="56" t="n">
        <f aca="false">MIN(AF343,MAX(0,N(Debts!$E$11)))</f>
        <v>0</v>
      </c>
      <c r="AQ343" s="56" t="n">
        <f aca="false">MIN(AG343,MAX(0,N(Debts!$E$12)))</f>
        <v>0</v>
      </c>
      <c r="AR343" s="56" t="n">
        <f aca="false">MIN(AH343,MAX(0,N(Debts!$E$13)))</f>
        <v>0</v>
      </c>
      <c r="AS343" s="56" t="n">
        <f aca="false">MIN(AI343,MAX(0,N(Debts!$E$14)))</f>
        <v>0</v>
      </c>
    </row>
    <row r="344" customFormat="false" ht="15" hidden="false" customHeight="false" outlineLevel="0" collapsed="false">
      <c r="A344" s="53" t="n">
        <v>340</v>
      </c>
      <c r="B344" s="54" t="n">
        <f aca="false">EDATE('Start Here'!$B$8,339)</f>
        <v>56646</v>
      </c>
      <c r="C344" s="42" t="n">
        <f aca="false">SUM(F344:O344)</f>
        <v>0</v>
      </c>
      <c r="D344" s="42" t="n">
        <f aca="false">ROUND(SUM($Z344:$AI344)-SUM(P343:Y343),2)</f>
        <v>0</v>
      </c>
      <c r="E344" s="55" t="n">
        <f aca="false">SUM(P344:Y344)</f>
        <v>0</v>
      </c>
      <c r="F344" s="42" t="n">
        <f aca="false">AJ344+MIN(Z344-AJ344,MAX(0,'Start Here'!$B$10-SUM($AJ344:$AS344)-SUMPRODUCT(($Z$3:$AI$3&lt;Z$3)*($Z344:$AI344-$AJ344:$AS344))))</f>
        <v>0</v>
      </c>
      <c r="G344" s="42" t="n">
        <f aca="false">AK344+MIN(AA344-AK344,MAX(0,'Start Here'!$B$10-SUM($AJ344:$AS344)-SUMPRODUCT(($Z$3:$AI$3&lt;AA$3)*($Z344:$AI344-$AJ344:$AS344))))</f>
        <v>0</v>
      </c>
      <c r="H344" s="42" t="n">
        <f aca="false">AL344+MIN(AB344-AL344,MAX(0,'Start Here'!$B$10-SUM($AJ344:$AS344)-SUMPRODUCT(($Z$3:$AI$3&lt;AB$3)*($Z344:$AI344-$AJ344:$AS344))))</f>
        <v>0</v>
      </c>
      <c r="I344" s="42" t="n">
        <f aca="false">AM344+MIN(AC344-AM344,MAX(0,'Start Here'!$B$10-SUM($AJ344:$AS344)-SUMPRODUCT(($Z$3:$AI$3&lt;AC$3)*($Z344:$AI344-$AJ344:$AS344))))</f>
        <v>0</v>
      </c>
      <c r="J344" s="42" t="n">
        <f aca="false">AN344+MIN(AD344-AN344,MAX(0,'Start Here'!$B$10-SUM($AJ344:$AS344)-SUMPRODUCT(($Z$3:$AI$3&lt;AD$3)*($Z344:$AI344-$AJ344:$AS344))))</f>
        <v>0</v>
      </c>
      <c r="K344" s="42" t="n">
        <f aca="false">AO344+MIN(AE344-AO344,MAX(0,'Start Here'!$B$10-SUM($AJ344:$AS344)-SUMPRODUCT(($Z$3:$AI$3&lt;AE$3)*($Z344:$AI344-$AJ344:$AS344))))</f>
        <v>0</v>
      </c>
      <c r="L344" s="42" t="n">
        <f aca="false">AP344+MIN(AF344-AP344,MAX(0,'Start Here'!$B$10-SUM($AJ344:$AS344)-SUMPRODUCT(($Z$3:$AI$3&lt;AF$3)*($Z344:$AI344-$AJ344:$AS344))))</f>
        <v>0</v>
      </c>
      <c r="M344" s="42" t="n">
        <f aca="false">AQ344+MIN(AG344-AQ344,MAX(0,'Start Here'!$B$10-SUM($AJ344:$AS344)-SUMPRODUCT(($Z$3:$AI$3&lt;AG$3)*($Z344:$AI344-$AJ344:$AS344))))</f>
        <v>0</v>
      </c>
      <c r="N344" s="42" t="n">
        <f aca="false">AR344+MIN(AH344-AR344,MAX(0,'Start Here'!$B$10-SUM($AJ344:$AS344)-SUMPRODUCT(($Z$3:$AI$3&lt;AH$3)*($Z344:$AI344-$AJ344:$AS344))))</f>
        <v>0</v>
      </c>
      <c r="O344" s="42" t="n">
        <f aca="false">AS344+MIN(AI344-AS344,MAX(0,'Start Here'!$B$10-SUM($AJ344:$AS344)-SUMPRODUCT(($Z$3:$AI$3&lt;AI$3)*($Z344:$AI344-$AJ344:$AS344))))</f>
        <v>0</v>
      </c>
      <c r="P344" s="42" t="n">
        <f aca="false">ROUND(Z344-F344,2)</f>
        <v>0</v>
      </c>
      <c r="Q344" s="42" t="n">
        <f aca="false">ROUND(AA344-G344,2)</f>
        <v>0</v>
      </c>
      <c r="R344" s="42" t="n">
        <f aca="false">ROUND(AB344-H344,2)</f>
        <v>0</v>
      </c>
      <c r="S344" s="42" t="n">
        <f aca="false">ROUND(AC344-I344,2)</f>
        <v>0</v>
      </c>
      <c r="T344" s="42" t="n">
        <f aca="false">ROUND(AD344-J344,2)</f>
        <v>0</v>
      </c>
      <c r="U344" s="42" t="n">
        <f aca="false">ROUND(AE344-K344,2)</f>
        <v>0</v>
      </c>
      <c r="V344" s="42" t="n">
        <f aca="false">ROUND(AF344-L344,2)</f>
        <v>0</v>
      </c>
      <c r="W344" s="42" t="n">
        <f aca="false">ROUND(AG344-M344,2)</f>
        <v>0</v>
      </c>
      <c r="X344" s="42" t="n">
        <f aca="false">ROUND(AH344-N344,2)</f>
        <v>0</v>
      </c>
      <c r="Y344" s="42" t="n">
        <f aca="false">ROUND(AI344-O344,2)</f>
        <v>0</v>
      </c>
      <c r="Z344" s="56" t="n">
        <f aca="false">ROUND(P343*(1+N(Debts!$D$5)/12),2)</f>
        <v>0</v>
      </c>
      <c r="AA344" s="56" t="n">
        <f aca="false">ROUND(Q343*(1+N(Debts!$D$6)/12),2)</f>
        <v>0</v>
      </c>
      <c r="AB344" s="56" t="n">
        <f aca="false">ROUND(R343*(1+N(Debts!$D$7)/12),2)</f>
        <v>0</v>
      </c>
      <c r="AC344" s="56" t="n">
        <f aca="false">ROUND(S343*(1+N(Debts!$D$8)/12),2)</f>
        <v>0</v>
      </c>
      <c r="AD344" s="56" t="n">
        <f aca="false">ROUND(T343*(1+N(Debts!$D$9)/12),2)</f>
        <v>0</v>
      </c>
      <c r="AE344" s="56" t="n">
        <f aca="false">ROUND(U343*(1+N(Debts!$D$10)/12),2)</f>
        <v>0</v>
      </c>
      <c r="AF344" s="56" t="n">
        <f aca="false">ROUND(V343*(1+N(Debts!$D$11)/12),2)</f>
        <v>0</v>
      </c>
      <c r="AG344" s="56" t="n">
        <f aca="false">ROUND(W343*(1+N(Debts!$D$12)/12),2)</f>
        <v>0</v>
      </c>
      <c r="AH344" s="56" t="n">
        <f aca="false">ROUND(X343*(1+N(Debts!$D$13)/12),2)</f>
        <v>0</v>
      </c>
      <c r="AI344" s="56" t="n">
        <f aca="false">ROUND(Y343*(1+N(Debts!$D$14)/12),2)</f>
        <v>0</v>
      </c>
      <c r="AJ344" s="56" t="n">
        <f aca="false">MIN(Z344,MAX(0,N(Debts!$E$5)))</f>
        <v>0</v>
      </c>
      <c r="AK344" s="56" t="n">
        <f aca="false">MIN(AA344,MAX(0,N(Debts!$E$6)))</f>
        <v>0</v>
      </c>
      <c r="AL344" s="56" t="n">
        <f aca="false">MIN(AB344,MAX(0,N(Debts!$E$7)))</f>
        <v>0</v>
      </c>
      <c r="AM344" s="56" t="n">
        <f aca="false">MIN(AC344,MAX(0,N(Debts!$E$8)))</f>
        <v>0</v>
      </c>
      <c r="AN344" s="56" t="n">
        <f aca="false">MIN(AD344,MAX(0,N(Debts!$E$9)))</f>
        <v>0</v>
      </c>
      <c r="AO344" s="56" t="n">
        <f aca="false">MIN(AE344,MAX(0,N(Debts!$E$10)))</f>
        <v>0</v>
      </c>
      <c r="AP344" s="56" t="n">
        <f aca="false">MIN(AF344,MAX(0,N(Debts!$E$11)))</f>
        <v>0</v>
      </c>
      <c r="AQ344" s="56" t="n">
        <f aca="false">MIN(AG344,MAX(0,N(Debts!$E$12)))</f>
        <v>0</v>
      </c>
      <c r="AR344" s="56" t="n">
        <f aca="false">MIN(AH344,MAX(0,N(Debts!$E$13)))</f>
        <v>0</v>
      </c>
      <c r="AS344" s="56" t="n">
        <f aca="false">MIN(AI344,MAX(0,N(Debts!$E$14)))</f>
        <v>0</v>
      </c>
    </row>
    <row r="345" customFormat="false" ht="15" hidden="false" customHeight="false" outlineLevel="0" collapsed="false">
      <c r="A345" s="53" t="n">
        <v>341</v>
      </c>
      <c r="B345" s="54" t="n">
        <f aca="false">EDATE('Start Here'!$B$8,340)</f>
        <v>56674</v>
      </c>
      <c r="C345" s="42" t="n">
        <f aca="false">SUM(F345:O345)</f>
        <v>0</v>
      </c>
      <c r="D345" s="42" t="n">
        <f aca="false">ROUND(SUM($Z345:$AI345)-SUM(P344:Y344),2)</f>
        <v>0</v>
      </c>
      <c r="E345" s="55" t="n">
        <f aca="false">SUM(P345:Y345)</f>
        <v>0</v>
      </c>
      <c r="F345" s="42" t="n">
        <f aca="false">AJ345+MIN(Z345-AJ345,MAX(0,'Start Here'!$B$10-SUM($AJ345:$AS345)-SUMPRODUCT(($Z$3:$AI$3&lt;Z$3)*($Z345:$AI345-$AJ345:$AS345))))</f>
        <v>0</v>
      </c>
      <c r="G345" s="42" t="n">
        <f aca="false">AK345+MIN(AA345-AK345,MAX(0,'Start Here'!$B$10-SUM($AJ345:$AS345)-SUMPRODUCT(($Z$3:$AI$3&lt;AA$3)*($Z345:$AI345-$AJ345:$AS345))))</f>
        <v>0</v>
      </c>
      <c r="H345" s="42" t="n">
        <f aca="false">AL345+MIN(AB345-AL345,MAX(0,'Start Here'!$B$10-SUM($AJ345:$AS345)-SUMPRODUCT(($Z$3:$AI$3&lt;AB$3)*($Z345:$AI345-$AJ345:$AS345))))</f>
        <v>0</v>
      </c>
      <c r="I345" s="42" t="n">
        <f aca="false">AM345+MIN(AC345-AM345,MAX(0,'Start Here'!$B$10-SUM($AJ345:$AS345)-SUMPRODUCT(($Z$3:$AI$3&lt;AC$3)*($Z345:$AI345-$AJ345:$AS345))))</f>
        <v>0</v>
      </c>
      <c r="J345" s="42" t="n">
        <f aca="false">AN345+MIN(AD345-AN345,MAX(0,'Start Here'!$B$10-SUM($AJ345:$AS345)-SUMPRODUCT(($Z$3:$AI$3&lt;AD$3)*($Z345:$AI345-$AJ345:$AS345))))</f>
        <v>0</v>
      </c>
      <c r="K345" s="42" t="n">
        <f aca="false">AO345+MIN(AE345-AO345,MAX(0,'Start Here'!$B$10-SUM($AJ345:$AS345)-SUMPRODUCT(($Z$3:$AI$3&lt;AE$3)*($Z345:$AI345-$AJ345:$AS345))))</f>
        <v>0</v>
      </c>
      <c r="L345" s="42" t="n">
        <f aca="false">AP345+MIN(AF345-AP345,MAX(0,'Start Here'!$B$10-SUM($AJ345:$AS345)-SUMPRODUCT(($Z$3:$AI$3&lt;AF$3)*($Z345:$AI345-$AJ345:$AS345))))</f>
        <v>0</v>
      </c>
      <c r="M345" s="42" t="n">
        <f aca="false">AQ345+MIN(AG345-AQ345,MAX(0,'Start Here'!$B$10-SUM($AJ345:$AS345)-SUMPRODUCT(($Z$3:$AI$3&lt;AG$3)*($Z345:$AI345-$AJ345:$AS345))))</f>
        <v>0</v>
      </c>
      <c r="N345" s="42" t="n">
        <f aca="false">AR345+MIN(AH345-AR345,MAX(0,'Start Here'!$B$10-SUM($AJ345:$AS345)-SUMPRODUCT(($Z$3:$AI$3&lt;AH$3)*($Z345:$AI345-$AJ345:$AS345))))</f>
        <v>0</v>
      </c>
      <c r="O345" s="42" t="n">
        <f aca="false">AS345+MIN(AI345-AS345,MAX(0,'Start Here'!$B$10-SUM($AJ345:$AS345)-SUMPRODUCT(($Z$3:$AI$3&lt;AI$3)*($Z345:$AI345-$AJ345:$AS345))))</f>
        <v>0</v>
      </c>
      <c r="P345" s="42" t="n">
        <f aca="false">ROUND(Z345-F345,2)</f>
        <v>0</v>
      </c>
      <c r="Q345" s="42" t="n">
        <f aca="false">ROUND(AA345-G345,2)</f>
        <v>0</v>
      </c>
      <c r="R345" s="42" t="n">
        <f aca="false">ROUND(AB345-H345,2)</f>
        <v>0</v>
      </c>
      <c r="S345" s="42" t="n">
        <f aca="false">ROUND(AC345-I345,2)</f>
        <v>0</v>
      </c>
      <c r="T345" s="42" t="n">
        <f aca="false">ROUND(AD345-J345,2)</f>
        <v>0</v>
      </c>
      <c r="U345" s="42" t="n">
        <f aca="false">ROUND(AE345-K345,2)</f>
        <v>0</v>
      </c>
      <c r="V345" s="42" t="n">
        <f aca="false">ROUND(AF345-L345,2)</f>
        <v>0</v>
      </c>
      <c r="W345" s="42" t="n">
        <f aca="false">ROUND(AG345-M345,2)</f>
        <v>0</v>
      </c>
      <c r="X345" s="42" t="n">
        <f aca="false">ROUND(AH345-N345,2)</f>
        <v>0</v>
      </c>
      <c r="Y345" s="42" t="n">
        <f aca="false">ROUND(AI345-O345,2)</f>
        <v>0</v>
      </c>
      <c r="Z345" s="56" t="n">
        <f aca="false">ROUND(P344*(1+N(Debts!$D$5)/12),2)</f>
        <v>0</v>
      </c>
      <c r="AA345" s="56" t="n">
        <f aca="false">ROUND(Q344*(1+N(Debts!$D$6)/12),2)</f>
        <v>0</v>
      </c>
      <c r="AB345" s="56" t="n">
        <f aca="false">ROUND(R344*(1+N(Debts!$D$7)/12),2)</f>
        <v>0</v>
      </c>
      <c r="AC345" s="56" t="n">
        <f aca="false">ROUND(S344*(1+N(Debts!$D$8)/12),2)</f>
        <v>0</v>
      </c>
      <c r="AD345" s="56" t="n">
        <f aca="false">ROUND(T344*(1+N(Debts!$D$9)/12),2)</f>
        <v>0</v>
      </c>
      <c r="AE345" s="56" t="n">
        <f aca="false">ROUND(U344*(1+N(Debts!$D$10)/12),2)</f>
        <v>0</v>
      </c>
      <c r="AF345" s="56" t="n">
        <f aca="false">ROUND(V344*(1+N(Debts!$D$11)/12),2)</f>
        <v>0</v>
      </c>
      <c r="AG345" s="56" t="n">
        <f aca="false">ROUND(W344*(1+N(Debts!$D$12)/12),2)</f>
        <v>0</v>
      </c>
      <c r="AH345" s="56" t="n">
        <f aca="false">ROUND(X344*(1+N(Debts!$D$13)/12),2)</f>
        <v>0</v>
      </c>
      <c r="AI345" s="56" t="n">
        <f aca="false">ROUND(Y344*(1+N(Debts!$D$14)/12),2)</f>
        <v>0</v>
      </c>
      <c r="AJ345" s="56" t="n">
        <f aca="false">MIN(Z345,MAX(0,N(Debts!$E$5)))</f>
        <v>0</v>
      </c>
      <c r="AK345" s="56" t="n">
        <f aca="false">MIN(AA345,MAX(0,N(Debts!$E$6)))</f>
        <v>0</v>
      </c>
      <c r="AL345" s="56" t="n">
        <f aca="false">MIN(AB345,MAX(0,N(Debts!$E$7)))</f>
        <v>0</v>
      </c>
      <c r="AM345" s="56" t="n">
        <f aca="false">MIN(AC345,MAX(0,N(Debts!$E$8)))</f>
        <v>0</v>
      </c>
      <c r="AN345" s="56" t="n">
        <f aca="false">MIN(AD345,MAX(0,N(Debts!$E$9)))</f>
        <v>0</v>
      </c>
      <c r="AO345" s="56" t="n">
        <f aca="false">MIN(AE345,MAX(0,N(Debts!$E$10)))</f>
        <v>0</v>
      </c>
      <c r="AP345" s="56" t="n">
        <f aca="false">MIN(AF345,MAX(0,N(Debts!$E$11)))</f>
        <v>0</v>
      </c>
      <c r="AQ345" s="56" t="n">
        <f aca="false">MIN(AG345,MAX(0,N(Debts!$E$12)))</f>
        <v>0</v>
      </c>
      <c r="AR345" s="56" t="n">
        <f aca="false">MIN(AH345,MAX(0,N(Debts!$E$13)))</f>
        <v>0</v>
      </c>
      <c r="AS345" s="56" t="n">
        <f aca="false">MIN(AI345,MAX(0,N(Debts!$E$14)))</f>
        <v>0</v>
      </c>
    </row>
    <row r="346" customFormat="false" ht="15" hidden="false" customHeight="false" outlineLevel="0" collapsed="false">
      <c r="A346" s="53" t="n">
        <v>342</v>
      </c>
      <c r="B346" s="54" t="n">
        <f aca="false">EDATE('Start Here'!$B$8,341)</f>
        <v>56705</v>
      </c>
      <c r="C346" s="42" t="n">
        <f aca="false">SUM(F346:O346)</f>
        <v>0</v>
      </c>
      <c r="D346" s="42" t="n">
        <f aca="false">ROUND(SUM($Z346:$AI346)-SUM(P345:Y345),2)</f>
        <v>0</v>
      </c>
      <c r="E346" s="55" t="n">
        <f aca="false">SUM(P346:Y346)</f>
        <v>0</v>
      </c>
      <c r="F346" s="42" t="n">
        <f aca="false">AJ346+MIN(Z346-AJ346,MAX(0,'Start Here'!$B$10-SUM($AJ346:$AS346)-SUMPRODUCT(($Z$3:$AI$3&lt;Z$3)*($Z346:$AI346-$AJ346:$AS346))))</f>
        <v>0</v>
      </c>
      <c r="G346" s="42" t="n">
        <f aca="false">AK346+MIN(AA346-AK346,MAX(0,'Start Here'!$B$10-SUM($AJ346:$AS346)-SUMPRODUCT(($Z$3:$AI$3&lt;AA$3)*($Z346:$AI346-$AJ346:$AS346))))</f>
        <v>0</v>
      </c>
      <c r="H346" s="42" t="n">
        <f aca="false">AL346+MIN(AB346-AL346,MAX(0,'Start Here'!$B$10-SUM($AJ346:$AS346)-SUMPRODUCT(($Z$3:$AI$3&lt;AB$3)*($Z346:$AI346-$AJ346:$AS346))))</f>
        <v>0</v>
      </c>
      <c r="I346" s="42" t="n">
        <f aca="false">AM346+MIN(AC346-AM346,MAX(0,'Start Here'!$B$10-SUM($AJ346:$AS346)-SUMPRODUCT(($Z$3:$AI$3&lt;AC$3)*($Z346:$AI346-$AJ346:$AS346))))</f>
        <v>0</v>
      </c>
      <c r="J346" s="42" t="n">
        <f aca="false">AN346+MIN(AD346-AN346,MAX(0,'Start Here'!$B$10-SUM($AJ346:$AS346)-SUMPRODUCT(($Z$3:$AI$3&lt;AD$3)*($Z346:$AI346-$AJ346:$AS346))))</f>
        <v>0</v>
      </c>
      <c r="K346" s="42" t="n">
        <f aca="false">AO346+MIN(AE346-AO346,MAX(0,'Start Here'!$B$10-SUM($AJ346:$AS346)-SUMPRODUCT(($Z$3:$AI$3&lt;AE$3)*($Z346:$AI346-$AJ346:$AS346))))</f>
        <v>0</v>
      </c>
      <c r="L346" s="42" t="n">
        <f aca="false">AP346+MIN(AF346-AP346,MAX(0,'Start Here'!$B$10-SUM($AJ346:$AS346)-SUMPRODUCT(($Z$3:$AI$3&lt;AF$3)*($Z346:$AI346-$AJ346:$AS346))))</f>
        <v>0</v>
      </c>
      <c r="M346" s="42" t="n">
        <f aca="false">AQ346+MIN(AG346-AQ346,MAX(0,'Start Here'!$B$10-SUM($AJ346:$AS346)-SUMPRODUCT(($Z$3:$AI$3&lt;AG$3)*($Z346:$AI346-$AJ346:$AS346))))</f>
        <v>0</v>
      </c>
      <c r="N346" s="42" t="n">
        <f aca="false">AR346+MIN(AH346-AR346,MAX(0,'Start Here'!$B$10-SUM($AJ346:$AS346)-SUMPRODUCT(($Z$3:$AI$3&lt;AH$3)*($Z346:$AI346-$AJ346:$AS346))))</f>
        <v>0</v>
      </c>
      <c r="O346" s="42" t="n">
        <f aca="false">AS346+MIN(AI346-AS346,MAX(0,'Start Here'!$B$10-SUM($AJ346:$AS346)-SUMPRODUCT(($Z$3:$AI$3&lt;AI$3)*($Z346:$AI346-$AJ346:$AS346))))</f>
        <v>0</v>
      </c>
      <c r="P346" s="42" t="n">
        <f aca="false">ROUND(Z346-F346,2)</f>
        <v>0</v>
      </c>
      <c r="Q346" s="42" t="n">
        <f aca="false">ROUND(AA346-G346,2)</f>
        <v>0</v>
      </c>
      <c r="R346" s="42" t="n">
        <f aca="false">ROUND(AB346-H346,2)</f>
        <v>0</v>
      </c>
      <c r="S346" s="42" t="n">
        <f aca="false">ROUND(AC346-I346,2)</f>
        <v>0</v>
      </c>
      <c r="T346" s="42" t="n">
        <f aca="false">ROUND(AD346-J346,2)</f>
        <v>0</v>
      </c>
      <c r="U346" s="42" t="n">
        <f aca="false">ROUND(AE346-K346,2)</f>
        <v>0</v>
      </c>
      <c r="V346" s="42" t="n">
        <f aca="false">ROUND(AF346-L346,2)</f>
        <v>0</v>
      </c>
      <c r="W346" s="42" t="n">
        <f aca="false">ROUND(AG346-M346,2)</f>
        <v>0</v>
      </c>
      <c r="X346" s="42" t="n">
        <f aca="false">ROUND(AH346-N346,2)</f>
        <v>0</v>
      </c>
      <c r="Y346" s="42" t="n">
        <f aca="false">ROUND(AI346-O346,2)</f>
        <v>0</v>
      </c>
      <c r="Z346" s="56" t="n">
        <f aca="false">ROUND(P345*(1+N(Debts!$D$5)/12),2)</f>
        <v>0</v>
      </c>
      <c r="AA346" s="56" t="n">
        <f aca="false">ROUND(Q345*(1+N(Debts!$D$6)/12),2)</f>
        <v>0</v>
      </c>
      <c r="AB346" s="56" t="n">
        <f aca="false">ROUND(R345*(1+N(Debts!$D$7)/12),2)</f>
        <v>0</v>
      </c>
      <c r="AC346" s="56" t="n">
        <f aca="false">ROUND(S345*(1+N(Debts!$D$8)/12),2)</f>
        <v>0</v>
      </c>
      <c r="AD346" s="56" t="n">
        <f aca="false">ROUND(T345*(1+N(Debts!$D$9)/12),2)</f>
        <v>0</v>
      </c>
      <c r="AE346" s="56" t="n">
        <f aca="false">ROUND(U345*(1+N(Debts!$D$10)/12),2)</f>
        <v>0</v>
      </c>
      <c r="AF346" s="56" t="n">
        <f aca="false">ROUND(V345*(1+N(Debts!$D$11)/12),2)</f>
        <v>0</v>
      </c>
      <c r="AG346" s="56" t="n">
        <f aca="false">ROUND(W345*(1+N(Debts!$D$12)/12),2)</f>
        <v>0</v>
      </c>
      <c r="AH346" s="56" t="n">
        <f aca="false">ROUND(X345*(1+N(Debts!$D$13)/12),2)</f>
        <v>0</v>
      </c>
      <c r="AI346" s="56" t="n">
        <f aca="false">ROUND(Y345*(1+N(Debts!$D$14)/12),2)</f>
        <v>0</v>
      </c>
      <c r="AJ346" s="56" t="n">
        <f aca="false">MIN(Z346,MAX(0,N(Debts!$E$5)))</f>
        <v>0</v>
      </c>
      <c r="AK346" s="56" t="n">
        <f aca="false">MIN(AA346,MAX(0,N(Debts!$E$6)))</f>
        <v>0</v>
      </c>
      <c r="AL346" s="56" t="n">
        <f aca="false">MIN(AB346,MAX(0,N(Debts!$E$7)))</f>
        <v>0</v>
      </c>
      <c r="AM346" s="56" t="n">
        <f aca="false">MIN(AC346,MAX(0,N(Debts!$E$8)))</f>
        <v>0</v>
      </c>
      <c r="AN346" s="56" t="n">
        <f aca="false">MIN(AD346,MAX(0,N(Debts!$E$9)))</f>
        <v>0</v>
      </c>
      <c r="AO346" s="56" t="n">
        <f aca="false">MIN(AE346,MAX(0,N(Debts!$E$10)))</f>
        <v>0</v>
      </c>
      <c r="AP346" s="56" t="n">
        <f aca="false">MIN(AF346,MAX(0,N(Debts!$E$11)))</f>
        <v>0</v>
      </c>
      <c r="AQ346" s="56" t="n">
        <f aca="false">MIN(AG346,MAX(0,N(Debts!$E$12)))</f>
        <v>0</v>
      </c>
      <c r="AR346" s="56" t="n">
        <f aca="false">MIN(AH346,MAX(0,N(Debts!$E$13)))</f>
        <v>0</v>
      </c>
      <c r="AS346" s="56" t="n">
        <f aca="false">MIN(AI346,MAX(0,N(Debts!$E$14)))</f>
        <v>0</v>
      </c>
    </row>
    <row r="347" customFormat="false" ht="15" hidden="false" customHeight="false" outlineLevel="0" collapsed="false">
      <c r="A347" s="53" t="n">
        <v>343</v>
      </c>
      <c r="B347" s="54" t="n">
        <f aca="false">EDATE('Start Here'!$B$8,342)</f>
        <v>56735</v>
      </c>
      <c r="C347" s="42" t="n">
        <f aca="false">SUM(F347:O347)</f>
        <v>0</v>
      </c>
      <c r="D347" s="42" t="n">
        <f aca="false">ROUND(SUM($Z347:$AI347)-SUM(P346:Y346),2)</f>
        <v>0</v>
      </c>
      <c r="E347" s="55" t="n">
        <f aca="false">SUM(P347:Y347)</f>
        <v>0</v>
      </c>
      <c r="F347" s="42" t="n">
        <f aca="false">AJ347+MIN(Z347-AJ347,MAX(0,'Start Here'!$B$10-SUM($AJ347:$AS347)-SUMPRODUCT(($Z$3:$AI$3&lt;Z$3)*($Z347:$AI347-$AJ347:$AS347))))</f>
        <v>0</v>
      </c>
      <c r="G347" s="42" t="n">
        <f aca="false">AK347+MIN(AA347-AK347,MAX(0,'Start Here'!$B$10-SUM($AJ347:$AS347)-SUMPRODUCT(($Z$3:$AI$3&lt;AA$3)*($Z347:$AI347-$AJ347:$AS347))))</f>
        <v>0</v>
      </c>
      <c r="H347" s="42" t="n">
        <f aca="false">AL347+MIN(AB347-AL347,MAX(0,'Start Here'!$B$10-SUM($AJ347:$AS347)-SUMPRODUCT(($Z$3:$AI$3&lt;AB$3)*($Z347:$AI347-$AJ347:$AS347))))</f>
        <v>0</v>
      </c>
      <c r="I347" s="42" t="n">
        <f aca="false">AM347+MIN(AC347-AM347,MAX(0,'Start Here'!$B$10-SUM($AJ347:$AS347)-SUMPRODUCT(($Z$3:$AI$3&lt;AC$3)*($Z347:$AI347-$AJ347:$AS347))))</f>
        <v>0</v>
      </c>
      <c r="J347" s="42" t="n">
        <f aca="false">AN347+MIN(AD347-AN347,MAX(0,'Start Here'!$B$10-SUM($AJ347:$AS347)-SUMPRODUCT(($Z$3:$AI$3&lt;AD$3)*($Z347:$AI347-$AJ347:$AS347))))</f>
        <v>0</v>
      </c>
      <c r="K347" s="42" t="n">
        <f aca="false">AO347+MIN(AE347-AO347,MAX(0,'Start Here'!$B$10-SUM($AJ347:$AS347)-SUMPRODUCT(($Z$3:$AI$3&lt;AE$3)*($Z347:$AI347-$AJ347:$AS347))))</f>
        <v>0</v>
      </c>
      <c r="L347" s="42" t="n">
        <f aca="false">AP347+MIN(AF347-AP347,MAX(0,'Start Here'!$B$10-SUM($AJ347:$AS347)-SUMPRODUCT(($Z$3:$AI$3&lt;AF$3)*($Z347:$AI347-$AJ347:$AS347))))</f>
        <v>0</v>
      </c>
      <c r="M347" s="42" t="n">
        <f aca="false">AQ347+MIN(AG347-AQ347,MAX(0,'Start Here'!$B$10-SUM($AJ347:$AS347)-SUMPRODUCT(($Z$3:$AI$3&lt;AG$3)*($Z347:$AI347-$AJ347:$AS347))))</f>
        <v>0</v>
      </c>
      <c r="N347" s="42" t="n">
        <f aca="false">AR347+MIN(AH347-AR347,MAX(0,'Start Here'!$B$10-SUM($AJ347:$AS347)-SUMPRODUCT(($Z$3:$AI$3&lt;AH$3)*($Z347:$AI347-$AJ347:$AS347))))</f>
        <v>0</v>
      </c>
      <c r="O347" s="42" t="n">
        <f aca="false">AS347+MIN(AI347-AS347,MAX(0,'Start Here'!$B$10-SUM($AJ347:$AS347)-SUMPRODUCT(($Z$3:$AI$3&lt;AI$3)*($Z347:$AI347-$AJ347:$AS347))))</f>
        <v>0</v>
      </c>
      <c r="P347" s="42" t="n">
        <f aca="false">ROUND(Z347-F347,2)</f>
        <v>0</v>
      </c>
      <c r="Q347" s="42" t="n">
        <f aca="false">ROUND(AA347-G347,2)</f>
        <v>0</v>
      </c>
      <c r="R347" s="42" t="n">
        <f aca="false">ROUND(AB347-H347,2)</f>
        <v>0</v>
      </c>
      <c r="S347" s="42" t="n">
        <f aca="false">ROUND(AC347-I347,2)</f>
        <v>0</v>
      </c>
      <c r="T347" s="42" t="n">
        <f aca="false">ROUND(AD347-J347,2)</f>
        <v>0</v>
      </c>
      <c r="U347" s="42" t="n">
        <f aca="false">ROUND(AE347-K347,2)</f>
        <v>0</v>
      </c>
      <c r="V347" s="42" t="n">
        <f aca="false">ROUND(AF347-L347,2)</f>
        <v>0</v>
      </c>
      <c r="W347" s="42" t="n">
        <f aca="false">ROUND(AG347-M347,2)</f>
        <v>0</v>
      </c>
      <c r="X347" s="42" t="n">
        <f aca="false">ROUND(AH347-N347,2)</f>
        <v>0</v>
      </c>
      <c r="Y347" s="42" t="n">
        <f aca="false">ROUND(AI347-O347,2)</f>
        <v>0</v>
      </c>
      <c r="Z347" s="56" t="n">
        <f aca="false">ROUND(P346*(1+N(Debts!$D$5)/12),2)</f>
        <v>0</v>
      </c>
      <c r="AA347" s="56" t="n">
        <f aca="false">ROUND(Q346*(1+N(Debts!$D$6)/12),2)</f>
        <v>0</v>
      </c>
      <c r="AB347" s="56" t="n">
        <f aca="false">ROUND(R346*(1+N(Debts!$D$7)/12),2)</f>
        <v>0</v>
      </c>
      <c r="AC347" s="56" t="n">
        <f aca="false">ROUND(S346*(1+N(Debts!$D$8)/12),2)</f>
        <v>0</v>
      </c>
      <c r="AD347" s="56" t="n">
        <f aca="false">ROUND(T346*(1+N(Debts!$D$9)/12),2)</f>
        <v>0</v>
      </c>
      <c r="AE347" s="56" t="n">
        <f aca="false">ROUND(U346*(1+N(Debts!$D$10)/12),2)</f>
        <v>0</v>
      </c>
      <c r="AF347" s="56" t="n">
        <f aca="false">ROUND(V346*(1+N(Debts!$D$11)/12),2)</f>
        <v>0</v>
      </c>
      <c r="AG347" s="56" t="n">
        <f aca="false">ROUND(W346*(1+N(Debts!$D$12)/12),2)</f>
        <v>0</v>
      </c>
      <c r="AH347" s="56" t="n">
        <f aca="false">ROUND(X346*(1+N(Debts!$D$13)/12),2)</f>
        <v>0</v>
      </c>
      <c r="AI347" s="56" t="n">
        <f aca="false">ROUND(Y346*(1+N(Debts!$D$14)/12),2)</f>
        <v>0</v>
      </c>
      <c r="AJ347" s="56" t="n">
        <f aca="false">MIN(Z347,MAX(0,N(Debts!$E$5)))</f>
        <v>0</v>
      </c>
      <c r="AK347" s="56" t="n">
        <f aca="false">MIN(AA347,MAX(0,N(Debts!$E$6)))</f>
        <v>0</v>
      </c>
      <c r="AL347" s="56" t="n">
        <f aca="false">MIN(AB347,MAX(0,N(Debts!$E$7)))</f>
        <v>0</v>
      </c>
      <c r="AM347" s="56" t="n">
        <f aca="false">MIN(AC347,MAX(0,N(Debts!$E$8)))</f>
        <v>0</v>
      </c>
      <c r="AN347" s="56" t="n">
        <f aca="false">MIN(AD347,MAX(0,N(Debts!$E$9)))</f>
        <v>0</v>
      </c>
      <c r="AO347" s="56" t="n">
        <f aca="false">MIN(AE347,MAX(0,N(Debts!$E$10)))</f>
        <v>0</v>
      </c>
      <c r="AP347" s="56" t="n">
        <f aca="false">MIN(AF347,MAX(0,N(Debts!$E$11)))</f>
        <v>0</v>
      </c>
      <c r="AQ347" s="56" t="n">
        <f aca="false">MIN(AG347,MAX(0,N(Debts!$E$12)))</f>
        <v>0</v>
      </c>
      <c r="AR347" s="56" t="n">
        <f aca="false">MIN(AH347,MAX(0,N(Debts!$E$13)))</f>
        <v>0</v>
      </c>
      <c r="AS347" s="56" t="n">
        <f aca="false">MIN(AI347,MAX(0,N(Debts!$E$14)))</f>
        <v>0</v>
      </c>
    </row>
    <row r="348" customFormat="false" ht="15" hidden="false" customHeight="false" outlineLevel="0" collapsed="false">
      <c r="A348" s="53" t="n">
        <v>344</v>
      </c>
      <c r="B348" s="54" t="n">
        <f aca="false">EDATE('Start Here'!$B$8,343)</f>
        <v>56766</v>
      </c>
      <c r="C348" s="42" t="n">
        <f aca="false">SUM(F348:O348)</f>
        <v>0</v>
      </c>
      <c r="D348" s="42" t="n">
        <f aca="false">ROUND(SUM($Z348:$AI348)-SUM(P347:Y347),2)</f>
        <v>0</v>
      </c>
      <c r="E348" s="55" t="n">
        <f aca="false">SUM(P348:Y348)</f>
        <v>0</v>
      </c>
      <c r="F348" s="42" t="n">
        <f aca="false">AJ348+MIN(Z348-AJ348,MAX(0,'Start Here'!$B$10-SUM($AJ348:$AS348)-SUMPRODUCT(($Z$3:$AI$3&lt;Z$3)*($Z348:$AI348-$AJ348:$AS348))))</f>
        <v>0</v>
      </c>
      <c r="G348" s="42" t="n">
        <f aca="false">AK348+MIN(AA348-AK348,MAX(0,'Start Here'!$B$10-SUM($AJ348:$AS348)-SUMPRODUCT(($Z$3:$AI$3&lt;AA$3)*($Z348:$AI348-$AJ348:$AS348))))</f>
        <v>0</v>
      </c>
      <c r="H348" s="42" t="n">
        <f aca="false">AL348+MIN(AB348-AL348,MAX(0,'Start Here'!$B$10-SUM($AJ348:$AS348)-SUMPRODUCT(($Z$3:$AI$3&lt;AB$3)*($Z348:$AI348-$AJ348:$AS348))))</f>
        <v>0</v>
      </c>
      <c r="I348" s="42" t="n">
        <f aca="false">AM348+MIN(AC348-AM348,MAX(0,'Start Here'!$B$10-SUM($AJ348:$AS348)-SUMPRODUCT(($Z$3:$AI$3&lt;AC$3)*($Z348:$AI348-$AJ348:$AS348))))</f>
        <v>0</v>
      </c>
      <c r="J348" s="42" t="n">
        <f aca="false">AN348+MIN(AD348-AN348,MAX(0,'Start Here'!$B$10-SUM($AJ348:$AS348)-SUMPRODUCT(($Z$3:$AI$3&lt;AD$3)*($Z348:$AI348-$AJ348:$AS348))))</f>
        <v>0</v>
      </c>
      <c r="K348" s="42" t="n">
        <f aca="false">AO348+MIN(AE348-AO348,MAX(0,'Start Here'!$B$10-SUM($AJ348:$AS348)-SUMPRODUCT(($Z$3:$AI$3&lt;AE$3)*($Z348:$AI348-$AJ348:$AS348))))</f>
        <v>0</v>
      </c>
      <c r="L348" s="42" t="n">
        <f aca="false">AP348+MIN(AF348-AP348,MAX(0,'Start Here'!$B$10-SUM($AJ348:$AS348)-SUMPRODUCT(($Z$3:$AI$3&lt;AF$3)*($Z348:$AI348-$AJ348:$AS348))))</f>
        <v>0</v>
      </c>
      <c r="M348" s="42" t="n">
        <f aca="false">AQ348+MIN(AG348-AQ348,MAX(0,'Start Here'!$B$10-SUM($AJ348:$AS348)-SUMPRODUCT(($Z$3:$AI$3&lt;AG$3)*($Z348:$AI348-$AJ348:$AS348))))</f>
        <v>0</v>
      </c>
      <c r="N348" s="42" t="n">
        <f aca="false">AR348+MIN(AH348-AR348,MAX(0,'Start Here'!$B$10-SUM($AJ348:$AS348)-SUMPRODUCT(($Z$3:$AI$3&lt;AH$3)*($Z348:$AI348-$AJ348:$AS348))))</f>
        <v>0</v>
      </c>
      <c r="O348" s="42" t="n">
        <f aca="false">AS348+MIN(AI348-AS348,MAX(0,'Start Here'!$B$10-SUM($AJ348:$AS348)-SUMPRODUCT(($Z$3:$AI$3&lt;AI$3)*($Z348:$AI348-$AJ348:$AS348))))</f>
        <v>0</v>
      </c>
      <c r="P348" s="42" t="n">
        <f aca="false">ROUND(Z348-F348,2)</f>
        <v>0</v>
      </c>
      <c r="Q348" s="42" t="n">
        <f aca="false">ROUND(AA348-G348,2)</f>
        <v>0</v>
      </c>
      <c r="R348" s="42" t="n">
        <f aca="false">ROUND(AB348-H348,2)</f>
        <v>0</v>
      </c>
      <c r="S348" s="42" t="n">
        <f aca="false">ROUND(AC348-I348,2)</f>
        <v>0</v>
      </c>
      <c r="T348" s="42" t="n">
        <f aca="false">ROUND(AD348-J348,2)</f>
        <v>0</v>
      </c>
      <c r="U348" s="42" t="n">
        <f aca="false">ROUND(AE348-K348,2)</f>
        <v>0</v>
      </c>
      <c r="V348" s="42" t="n">
        <f aca="false">ROUND(AF348-L348,2)</f>
        <v>0</v>
      </c>
      <c r="W348" s="42" t="n">
        <f aca="false">ROUND(AG348-M348,2)</f>
        <v>0</v>
      </c>
      <c r="X348" s="42" t="n">
        <f aca="false">ROUND(AH348-N348,2)</f>
        <v>0</v>
      </c>
      <c r="Y348" s="42" t="n">
        <f aca="false">ROUND(AI348-O348,2)</f>
        <v>0</v>
      </c>
      <c r="Z348" s="56" t="n">
        <f aca="false">ROUND(P347*(1+N(Debts!$D$5)/12),2)</f>
        <v>0</v>
      </c>
      <c r="AA348" s="56" t="n">
        <f aca="false">ROUND(Q347*(1+N(Debts!$D$6)/12),2)</f>
        <v>0</v>
      </c>
      <c r="AB348" s="56" t="n">
        <f aca="false">ROUND(R347*(1+N(Debts!$D$7)/12),2)</f>
        <v>0</v>
      </c>
      <c r="AC348" s="56" t="n">
        <f aca="false">ROUND(S347*(1+N(Debts!$D$8)/12),2)</f>
        <v>0</v>
      </c>
      <c r="AD348" s="56" t="n">
        <f aca="false">ROUND(T347*(1+N(Debts!$D$9)/12),2)</f>
        <v>0</v>
      </c>
      <c r="AE348" s="56" t="n">
        <f aca="false">ROUND(U347*(1+N(Debts!$D$10)/12),2)</f>
        <v>0</v>
      </c>
      <c r="AF348" s="56" t="n">
        <f aca="false">ROUND(V347*(1+N(Debts!$D$11)/12),2)</f>
        <v>0</v>
      </c>
      <c r="AG348" s="56" t="n">
        <f aca="false">ROUND(W347*(1+N(Debts!$D$12)/12),2)</f>
        <v>0</v>
      </c>
      <c r="AH348" s="56" t="n">
        <f aca="false">ROUND(X347*(1+N(Debts!$D$13)/12),2)</f>
        <v>0</v>
      </c>
      <c r="AI348" s="56" t="n">
        <f aca="false">ROUND(Y347*(1+N(Debts!$D$14)/12),2)</f>
        <v>0</v>
      </c>
      <c r="AJ348" s="56" t="n">
        <f aca="false">MIN(Z348,MAX(0,N(Debts!$E$5)))</f>
        <v>0</v>
      </c>
      <c r="AK348" s="56" t="n">
        <f aca="false">MIN(AA348,MAX(0,N(Debts!$E$6)))</f>
        <v>0</v>
      </c>
      <c r="AL348" s="56" t="n">
        <f aca="false">MIN(AB348,MAX(0,N(Debts!$E$7)))</f>
        <v>0</v>
      </c>
      <c r="AM348" s="56" t="n">
        <f aca="false">MIN(AC348,MAX(0,N(Debts!$E$8)))</f>
        <v>0</v>
      </c>
      <c r="AN348" s="56" t="n">
        <f aca="false">MIN(AD348,MAX(0,N(Debts!$E$9)))</f>
        <v>0</v>
      </c>
      <c r="AO348" s="56" t="n">
        <f aca="false">MIN(AE348,MAX(0,N(Debts!$E$10)))</f>
        <v>0</v>
      </c>
      <c r="AP348" s="56" t="n">
        <f aca="false">MIN(AF348,MAX(0,N(Debts!$E$11)))</f>
        <v>0</v>
      </c>
      <c r="AQ348" s="56" t="n">
        <f aca="false">MIN(AG348,MAX(0,N(Debts!$E$12)))</f>
        <v>0</v>
      </c>
      <c r="AR348" s="56" t="n">
        <f aca="false">MIN(AH348,MAX(0,N(Debts!$E$13)))</f>
        <v>0</v>
      </c>
      <c r="AS348" s="56" t="n">
        <f aca="false">MIN(AI348,MAX(0,N(Debts!$E$14)))</f>
        <v>0</v>
      </c>
    </row>
    <row r="349" customFormat="false" ht="15" hidden="false" customHeight="false" outlineLevel="0" collapsed="false">
      <c r="A349" s="53" t="n">
        <v>345</v>
      </c>
      <c r="B349" s="54" t="n">
        <f aca="false">EDATE('Start Here'!$B$8,344)</f>
        <v>56796</v>
      </c>
      <c r="C349" s="42" t="n">
        <f aca="false">SUM(F349:O349)</f>
        <v>0</v>
      </c>
      <c r="D349" s="42" t="n">
        <f aca="false">ROUND(SUM($Z349:$AI349)-SUM(P348:Y348),2)</f>
        <v>0</v>
      </c>
      <c r="E349" s="55" t="n">
        <f aca="false">SUM(P349:Y349)</f>
        <v>0</v>
      </c>
      <c r="F349" s="42" t="n">
        <f aca="false">AJ349+MIN(Z349-AJ349,MAX(0,'Start Here'!$B$10-SUM($AJ349:$AS349)-SUMPRODUCT(($Z$3:$AI$3&lt;Z$3)*($Z349:$AI349-$AJ349:$AS349))))</f>
        <v>0</v>
      </c>
      <c r="G349" s="42" t="n">
        <f aca="false">AK349+MIN(AA349-AK349,MAX(0,'Start Here'!$B$10-SUM($AJ349:$AS349)-SUMPRODUCT(($Z$3:$AI$3&lt;AA$3)*($Z349:$AI349-$AJ349:$AS349))))</f>
        <v>0</v>
      </c>
      <c r="H349" s="42" t="n">
        <f aca="false">AL349+MIN(AB349-AL349,MAX(0,'Start Here'!$B$10-SUM($AJ349:$AS349)-SUMPRODUCT(($Z$3:$AI$3&lt;AB$3)*($Z349:$AI349-$AJ349:$AS349))))</f>
        <v>0</v>
      </c>
      <c r="I349" s="42" t="n">
        <f aca="false">AM349+MIN(AC349-AM349,MAX(0,'Start Here'!$B$10-SUM($AJ349:$AS349)-SUMPRODUCT(($Z$3:$AI$3&lt;AC$3)*($Z349:$AI349-$AJ349:$AS349))))</f>
        <v>0</v>
      </c>
      <c r="J349" s="42" t="n">
        <f aca="false">AN349+MIN(AD349-AN349,MAX(0,'Start Here'!$B$10-SUM($AJ349:$AS349)-SUMPRODUCT(($Z$3:$AI$3&lt;AD$3)*($Z349:$AI349-$AJ349:$AS349))))</f>
        <v>0</v>
      </c>
      <c r="K349" s="42" t="n">
        <f aca="false">AO349+MIN(AE349-AO349,MAX(0,'Start Here'!$B$10-SUM($AJ349:$AS349)-SUMPRODUCT(($Z$3:$AI$3&lt;AE$3)*($Z349:$AI349-$AJ349:$AS349))))</f>
        <v>0</v>
      </c>
      <c r="L349" s="42" t="n">
        <f aca="false">AP349+MIN(AF349-AP349,MAX(0,'Start Here'!$B$10-SUM($AJ349:$AS349)-SUMPRODUCT(($Z$3:$AI$3&lt;AF$3)*($Z349:$AI349-$AJ349:$AS349))))</f>
        <v>0</v>
      </c>
      <c r="M349" s="42" t="n">
        <f aca="false">AQ349+MIN(AG349-AQ349,MAX(0,'Start Here'!$B$10-SUM($AJ349:$AS349)-SUMPRODUCT(($Z$3:$AI$3&lt;AG$3)*($Z349:$AI349-$AJ349:$AS349))))</f>
        <v>0</v>
      </c>
      <c r="N349" s="42" t="n">
        <f aca="false">AR349+MIN(AH349-AR349,MAX(0,'Start Here'!$B$10-SUM($AJ349:$AS349)-SUMPRODUCT(($Z$3:$AI$3&lt;AH$3)*($Z349:$AI349-$AJ349:$AS349))))</f>
        <v>0</v>
      </c>
      <c r="O349" s="42" t="n">
        <f aca="false">AS349+MIN(AI349-AS349,MAX(0,'Start Here'!$B$10-SUM($AJ349:$AS349)-SUMPRODUCT(($Z$3:$AI$3&lt;AI$3)*($Z349:$AI349-$AJ349:$AS349))))</f>
        <v>0</v>
      </c>
      <c r="P349" s="42" t="n">
        <f aca="false">ROUND(Z349-F349,2)</f>
        <v>0</v>
      </c>
      <c r="Q349" s="42" t="n">
        <f aca="false">ROUND(AA349-G349,2)</f>
        <v>0</v>
      </c>
      <c r="R349" s="42" t="n">
        <f aca="false">ROUND(AB349-H349,2)</f>
        <v>0</v>
      </c>
      <c r="S349" s="42" t="n">
        <f aca="false">ROUND(AC349-I349,2)</f>
        <v>0</v>
      </c>
      <c r="T349" s="42" t="n">
        <f aca="false">ROUND(AD349-J349,2)</f>
        <v>0</v>
      </c>
      <c r="U349" s="42" t="n">
        <f aca="false">ROUND(AE349-K349,2)</f>
        <v>0</v>
      </c>
      <c r="V349" s="42" t="n">
        <f aca="false">ROUND(AF349-L349,2)</f>
        <v>0</v>
      </c>
      <c r="W349" s="42" t="n">
        <f aca="false">ROUND(AG349-M349,2)</f>
        <v>0</v>
      </c>
      <c r="X349" s="42" t="n">
        <f aca="false">ROUND(AH349-N349,2)</f>
        <v>0</v>
      </c>
      <c r="Y349" s="42" t="n">
        <f aca="false">ROUND(AI349-O349,2)</f>
        <v>0</v>
      </c>
      <c r="Z349" s="56" t="n">
        <f aca="false">ROUND(P348*(1+N(Debts!$D$5)/12),2)</f>
        <v>0</v>
      </c>
      <c r="AA349" s="56" t="n">
        <f aca="false">ROUND(Q348*(1+N(Debts!$D$6)/12),2)</f>
        <v>0</v>
      </c>
      <c r="AB349" s="56" t="n">
        <f aca="false">ROUND(R348*(1+N(Debts!$D$7)/12),2)</f>
        <v>0</v>
      </c>
      <c r="AC349" s="56" t="n">
        <f aca="false">ROUND(S348*(1+N(Debts!$D$8)/12),2)</f>
        <v>0</v>
      </c>
      <c r="AD349" s="56" t="n">
        <f aca="false">ROUND(T348*(1+N(Debts!$D$9)/12),2)</f>
        <v>0</v>
      </c>
      <c r="AE349" s="56" t="n">
        <f aca="false">ROUND(U348*(1+N(Debts!$D$10)/12),2)</f>
        <v>0</v>
      </c>
      <c r="AF349" s="56" t="n">
        <f aca="false">ROUND(V348*(1+N(Debts!$D$11)/12),2)</f>
        <v>0</v>
      </c>
      <c r="AG349" s="56" t="n">
        <f aca="false">ROUND(W348*(1+N(Debts!$D$12)/12),2)</f>
        <v>0</v>
      </c>
      <c r="AH349" s="56" t="n">
        <f aca="false">ROUND(X348*(1+N(Debts!$D$13)/12),2)</f>
        <v>0</v>
      </c>
      <c r="AI349" s="56" t="n">
        <f aca="false">ROUND(Y348*(1+N(Debts!$D$14)/12),2)</f>
        <v>0</v>
      </c>
      <c r="AJ349" s="56" t="n">
        <f aca="false">MIN(Z349,MAX(0,N(Debts!$E$5)))</f>
        <v>0</v>
      </c>
      <c r="AK349" s="56" t="n">
        <f aca="false">MIN(AA349,MAX(0,N(Debts!$E$6)))</f>
        <v>0</v>
      </c>
      <c r="AL349" s="56" t="n">
        <f aca="false">MIN(AB349,MAX(0,N(Debts!$E$7)))</f>
        <v>0</v>
      </c>
      <c r="AM349" s="56" t="n">
        <f aca="false">MIN(AC349,MAX(0,N(Debts!$E$8)))</f>
        <v>0</v>
      </c>
      <c r="AN349" s="56" t="n">
        <f aca="false">MIN(AD349,MAX(0,N(Debts!$E$9)))</f>
        <v>0</v>
      </c>
      <c r="AO349" s="56" t="n">
        <f aca="false">MIN(AE349,MAX(0,N(Debts!$E$10)))</f>
        <v>0</v>
      </c>
      <c r="AP349" s="56" t="n">
        <f aca="false">MIN(AF349,MAX(0,N(Debts!$E$11)))</f>
        <v>0</v>
      </c>
      <c r="AQ349" s="56" t="n">
        <f aca="false">MIN(AG349,MAX(0,N(Debts!$E$12)))</f>
        <v>0</v>
      </c>
      <c r="AR349" s="56" t="n">
        <f aca="false">MIN(AH349,MAX(0,N(Debts!$E$13)))</f>
        <v>0</v>
      </c>
      <c r="AS349" s="56" t="n">
        <f aca="false">MIN(AI349,MAX(0,N(Debts!$E$14)))</f>
        <v>0</v>
      </c>
    </row>
    <row r="350" customFormat="false" ht="15" hidden="false" customHeight="false" outlineLevel="0" collapsed="false">
      <c r="A350" s="53" t="n">
        <v>346</v>
      </c>
      <c r="B350" s="54" t="n">
        <f aca="false">EDATE('Start Here'!$B$8,345)</f>
        <v>56827</v>
      </c>
      <c r="C350" s="42" t="n">
        <f aca="false">SUM(F350:O350)</f>
        <v>0</v>
      </c>
      <c r="D350" s="42" t="n">
        <f aca="false">ROUND(SUM($Z350:$AI350)-SUM(P349:Y349),2)</f>
        <v>0</v>
      </c>
      <c r="E350" s="55" t="n">
        <f aca="false">SUM(P350:Y350)</f>
        <v>0</v>
      </c>
      <c r="F350" s="42" t="n">
        <f aca="false">AJ350+MIN(Z350-AJ350,MAX(0,'Start Here'!$B$10-SUM($AJ350:$AS350)-SUMPRODUCT(($Z$3:$AI$3&lt;Z$3)*($Z350:$AI350-$AJ350:$AS350))))</f>
        <v>0</v>
      </c>
      <c r="G350" s="42" t="n">
        <f aca="false">AK350+MIN(AA350-AK350,MAX(0,'Start Here'!$B$10-SUM($AJ350:$AS350)-SUMPRODUCT(($Z$3:$AI$3&lt;AA$3)*($Z350:$AI350-$AJ350:$AS350))))</f>
        <v>0</v>
      </c>
      <c r="H350" s="42" t="n">
        <f aca="false">AL350+MIN(AB350-AL350,MAX(0,'Start Here'!$B$10-SUM($AJ350:$AS350)-SUMPRODUCT(($Z$3:$AI$3&lt;AB$3)*($Z350:$AI350-$AJ350:$AS350))))</f>
        <v>0</v>
      </c>
      <c r="I350" s="42" t="n">
        <f aca="false">AM350+MIN(AC350-AM350,MAX(0,'Start Here'!$B$10-SUM($AJ350:$AS350)-SUMPRODUCT(($Z$3:$AI$3&lt;AC$3)*($Z350:$AI350-$AJ350:$AS350))))</f>
        <v>0</v>
      </c>
      <c r="J350" s="42" t="n">
        <f aca="false">AN350+MIN(AD350-AN350,MAX(0,'Start Here'!$B$10-SUM($AJ350:$AS350)-SUMPRODUCT(($Z$3:$AI$3&lt;AD$3)*($Z350:$AI350-$AJ350:$AS350))))</f>
        <v>0</v>
      </c>
      <c r="K350" s="42" t="n">
        <f aca="false">AO350+MIN(AE350-AO350,MAX(0,'Start Here'!$B$10-SUM($AJ350:$AS350)-SUMPRODUCT(($Z$3:$AI$3&lt;AE$3)*($Z350:$AI350-$AJ350:$AS350))))</f>
        <v>0</v>
      </c>
      <c r="L350" s="42" t="n">
        <f aca="false">AP350+MIN(AF350-AP350,MAX(0,'Start Here'!$B$10-SUM($AJ350:$AS350)-SUMPRODUCT(($Z$3:$AI$3&lt;AF$3)*($Z350:$AI350-$AJ350:$AS350))))</f>
        <v>0</v>
      </c>
      <c r="M350" s="42" t="n">
        <f aca="false">AQ350+MIN(AG350-AQ350,MAX(0,'Start Here'!$B$10-SUM($AJ350:$AS350)-SUMPRODUCT(($Z$3:$AI$3&lt;AG$3)*($Z350:$AI350-$AJ350:$AS350))))</f>
        <v>0</v>
      </c>
      <c r="N350" s="42" t="n">
        <f aca="false">AR350+MIN(AH350-AR350,MAX(0,'Start Here'!$B$10-SUM($AJ350:$AS350)-SUMPRODUCT(($Z$3:$AI$3&lt;AH$3)*($Z350:$AI350-$AJ350:$AS350))))</f>
        <v>0</v>
      </c>
      <c r="O350" s="42" t="n">
        <f aca="false">AS350+MIN(AI350-AS350,MAX(0,'Start Here'!$B$10-SUM($AJ350:$AS350)-SUMPRODUCT(($Z$3:$AI$3&lt;AI$3)*($Z350:$AI350-$AJ350:$AS350))))</f>
        <v>0</v>
      </c>
      <c r="P350" s="42" t="n">
        <f aca="false">ROUND(Z350-F350,2)</f>
        <v>0</v>
      </c>
      <c r="Q350" s="42" t="n">
        <f aca="false">ROUND(AA350-G350,2)</f>
        <v>0</v>
      </c>
      <c r="R350" s="42" t="n">
        <f aca="false">ROUND(AB350-H350,2)</f>
        <v>0</v>
      </c>
      <c r="S350" s="42" t="n">
        <f aca="false">ROUND(AC350-I350,2)</f>
        <v>0</v>
      </c>
      <c r="T350" s="42" t="n">
        <f aca="false">ROUND(AD350-J350,2)</f>
        <v>0</v>
      </c>
      <c r="U350" s="42" t="n">
        <f aca="false">ROUND(AE350-K350,2)</f>
        <v>0</v>
      </c>
      <c r="V350" s="42" t="n">
        <f aca="false">ROUND(AF350-L350,2)</f>
        <v>0</v>
      </c>
      <c r="W350" s="42" t="n">
        <f aca="false">ROUND(AG350-M350,2)</f>
        <v>0</v>
      </c>
      <c r="X350" s="42" t="n">
        <f aca="false">ROUND(AH350-N350,2)</f>
        <v>0</v>
      </c>
      <c r="Y350" s="42" t="n">
        <f aca="false">ROUND(AI350-O350,2)</f>
        <v>0</v>
      </c>
      <c r="Z350" s="56" t="n">
        <f aca="false">ROUND(P349*(1+N(Debts!$D$5)/12),2)</f>
        <v>0</v>
      </c>
      <c r="AA350" s="56" t="n">
        <f aca="false">ROUND(Q349*(1+N(Debts!$D$6)/12),2)</f>
        <v>0</v>
      </c>
      <c r="AB350" s="56" t="n">
        <f aca="false">ROUND(R349*(1+N(Debts!$D$7)/12),2)</f>
        <v>0</v>
      </c>
      <c r="AC350" s="56" t="n">
        <f aca="false">ROUND(S349*(1+N(Debts!$D$8)/12),2)</f>
        <v>0</v>
      </c>
      <c r="AD350" s="56" t="n">
        <f aca="false">ROUND(T349*(1+N(Debts!$D$9)/12),2)</f>
        <v>0</v>
      </c>
      <c r="AE350" s="56" t="n">
        <f aca="false">ROUND(U349*(1+N(Debts!$D$10)/12),2)</f>
        <v>0</v>
      </c>
      <c r="AF350" s="56" t="n">
        <f aca="false">ROUND(V349*(1+N(Debts!$D$11)/12),2)</f>
        <v>0</v>
      </c>
      <c r="AG350" s="56" t="n">
        <f aca="false">ROUND(W349*(1+N(Debts!$D$12)/12),2)</f>
        <v>0</v>
      </c>
      <c r="AH350" s="56" t="n">
        <f aca="false">ROUND(X349*(1+N(Debts!$D$13)/12),2)</f>
        <v>0</v>
      </c>
      <c r="AI350" s="56" t="n">
        <f aca="false">ROUND(Y349*(1+N(Debts!$D$14)/12),2)</f>
        <v>0</v>
      </c>
      <c r="AJ350" s="56" t="n">
        <f aca="false">MIN(Z350,MAX(0,N(Debts!$E$5)))</f>
        <v>0</v>
      </c>
      <c r="AK350" s="56" t="n">
        <f aca="false">MIN(AA350,MAX(0,N(Debts!$E$6)))</f>
        <v>0</v>
      </c>
      <c r="AL350" s="56" t="n">
        <f aca="false">MIN(AB350,MAX(0,N(Debts!$E$7)))</f>
        <v>0</v>
      </c>
      <c r="AM350" s="56" t="n">
        <f aca="false">MIN(AC350,MAX(0,N(Debts!$E$8)))</f>
        <v>0</v>
      </c>
      <c r="AN350" s="56" t="n">
        <f aca="false">MIN(AD350,MAX(0,N(Debts!$E$9)))</f>
        <v>0</v>
      </c>
      <c r="AO350" s="56" t="n">
        <f aca="false">MIN(AE350,MAX(0,N(Debts!$E$10)))</f>
        <v>0</v>
      </c>
      <c r="AP350" s="56" t="n">
        <f aca="false">MIN(AF350,MAX(0,N(Debts!$E$11)))</f>
        <v>0</v>
      </c>
      <c r="AQ350" s="56" t="n">
        <f aca="false">MIN(AG350,MAX(0,N(Debts!$E$12)))</f>
        <v>0</v>
      </c>
      <c r="AR350" s="56" t="n">
        <f aca="false">MIN(AH350,MAX(0,N(Debts!$E$13)))</f>
        <v>0</v>
      </c>
      <c r="AS350" s="56" t="n">
        <f aca="false">MIN(AI350,MAX(0,N(Debts!$E$14)))</f>
        <v>0</v>
      </c>
    </row>
    <row r="351" customFormat="false" ht="15" hidden="false" customHeight="false" outlineLevel="0" collapsed="false">
      <c r="A351" s="53" t="n">
        <v>347</v>
      </c>
      <c r="B351" s="54" t="n">
        <f aca="false">EDATE('Start Here'!$B$8,346)</f>
        <v>56858</v>
      </c>
      <c r="C351" s="42" t="n">
        <f aca="false">SUM(F351:O351)</f>
        <v>0</v>
      </c>
      <c r="D351" s="42" t="n">
        <f aca="false">ROUND(SUM($Z351:$AI351)-SUM(P350:Y350),2)</f>
        <v>0</v>
      </c>
      <c r="E351" s="55" t="n">
        <f aca="false">SUM(P351:Y351)</f>
        <v>0</v>
      </c>
      <c r="F351" s="42" t="n">
        <f aca="false">AJ351+MIN(Z351-AJ351,MAX(0,'Start Here'!$B$10-SUM($AJ351:$AS351)-SUMPRODUCT(($Z$3:$AI$3&lt;Z$3)*($Z351:$AI351-$AJ351:$AS351))))</f>
        <v>0</v>
      </c>
      <c r="G351" s="42" t="n">
        <f aca="false">AK351+MIN(AA351-AK351,MAX(0,'Start Here'!$B$10-SUM($AJ351:$AS351)-SUMPRODUCT(($Z$3:$AI$3&lt;AA$3)*($Z351:$AI351-$AJ351:$AS351))))</f>
        <v>0</v>
      </c>
      <c r="H351" s="42" t="n">
        <f aca="false">AL351+MIN(AB351-AL351,MAX(0,'Start Here'!$B$10-SUM($AJ351:$AS351)-SUMPRODUCT(($Z$3:$AI$3&lt;AB$3)*($Z351:$AI351-$AJ351:$AS351))))</f>
        <v>0</v>
      </c>
      <c r="I351" s="42" t="n">
        <f aca="false">AM351+MIN(AC351-AM351,MAX(0,'Start Here'!$B$10-SUM($AJ351:$AS351)-SUMPRODUCT(($Z$3:$AI$3&lt;AC$3)*($Z351:$AI351-$AJ351:$AS351))))</f>
        <v>0</v>
      </c>
      <c r="J351" s="42" t="n">
        <f aca="false">AN351+MIN(AD351-AN351,MAX(0,'Start Here'!$B$10-SUM($AJ351:$AS351)-SUMPRODUCT(($Z$3:$AI$3&lt;AD$3)*($Z351:$AI351-$AJ351:$AS351))))</f>
        <v>0</v>
      </c>
      <c r="K351" s="42" t="n">
        <f aca="false">AO351+MIN(AE351-AO351,MAX(0,'Start Here'!$B$10-SUM($AJ351:$AS351)-SUMPRODUCT(($Z$3:$AI$3&lt;AE$3)*($Z351:$AI351-$AJ351:$AS351))))</f>
        <v>0</v>
      </c>
      <c r="L351" s="42" t="n">
        <f aca="false">AP351+MIN(AF351-AP351,MAX(0,'Start Here'!$B$10-SUM($AJ351:$AS351)-SUMPRODUCT(($Z$3:$AI$3&lt;AF$3)*($Z351:$AI351-$AJ351:$AS351))))</f>
        <v>0</v>
      </c>
      <c r="M351" s="42" t="n">
        <f aca="false">AQ351+MIN(AG351-AQ351,MAX(0,'Start Here'!$B$10-SUM($AJ351:$AS351)-SUMPRODUCT(($Z$3:$AI$3&lt;AG$3)*($Z351:$AI351-$AJ351:$AS351))))</f>
        <v>0</v>
      </c>
      <c r="N351" s="42" t="n">
        <f aca="false">AR351+MIN(AH351-AR351,MAX(0,'Start Here'!$B$10-SUM($AJ351:$AS351)-SUMPRODUCT(($Z$3:$AI$3&lt;AH$3)*($Z351:$AI351-$AJ351:$AS351))))</f>
        <v>0</v>
      </c>
      <c r="O351" s="42" t="n">
        <f aca="false">AS351+MIN(AI351-AS351,MAX(0,'Start Here'!$B$10-SUM($AJ351:$AS351)-SUMPRODUCT(($Z$3:$AI$3&lt;AI$3)*($Z351:$AI351-$AJ351:$AS351))))</f>
        <v>0</v>
      </c>
      <c r="P351" s="42" t="n">
        <f aca="false">ROUND(Z351-F351,2)</f>
        <v>0</v>
      </c>
      <c r="Q351" s="42" t="n">
        <f aca="false">ROUND(AA351-G351,2)</f>
        <v>0</v>
      </c>
      <c r="R351" s="42" t="n">
        <f aca="false">ROUND(AB351-H351,2)</f>
        <v>0</v>
      </c>
      <c r="S351" s="42" t="n">
        <f aca="false">ROUND(AC351-I351,2)</f>
        <v>0</v>
      </c>
      <c r="T351" s="42" t="n">
        <f aca="false">ROUND(AD351-J351,2)</f>
        <v>0</v>
      </c>
      <c r="U351" s="42" t="n">
        <f aca="false">ROUND(AE351-K351,2)</f>
        <v>0</v>
      </c>
      <c r="V351" s="42" t="n">
        <f aca="false">ROUND(AF351-L351,2)</f>
        <v>0</v>
      </c>
      <c r="W351" s="42" t="n">
        <f aca="false">ROUND(AG351-M351,2)</f>
        <v>0</v>
      </c>
      <c r="X351" s="42" t="n">
        <f aca="false">ROUND(AH351-N351,2)</f>
        <v>0</v>
      </c>
      <c r="Y351" s="42" t="n">
        <f aca="false">ROUND(AI351-O351,2)</f>
        <v>0</v>
      </c>
      <c r="Z351" s="56" t="n">
        <f aca="false">ROUND(P350*(1+N(Debts!$D$5)/12),2)</f>
        <v>0</v>
      </c>
      <c r="AA351" s="56" t="n">
        <f aca="false">ROUND(Q350*(1+N(Debts!$D$6)/12),2)</f>
        <v>0</v>
      </c>
      <c r="AB351" s="56" t="n">
        <f aca="false">ROUND(R350*(1+N(Debts!$D$7)/12),2)</f>
        <v>0</v>
      </c>
      <c r="AC351" s="56" t="n">
        <f aca="false">ROUND(S350*(1+N(Debts!$D$8)/12),2)</f>
        <v>0</v>
      </c>
      <c r="AD351" s="56" t="n">
        <f aca="false">ROUND(T350*(1+N(Debts!$D$9)/12),2)</f>
        <v>0</v>
      </c>
      <c r="AE351" s="56" t="n">
        <f aca="false">ROUND(U350*(1+N(Debts!$D$10)/12),2)</f>
        <v>0</v>
      </c>
      <c r="AF351" s="56" t="n">
        <f aca="false">ROUND(V350*(1+N(Debts!$D$11)/12),2)</f>
        <v>0</v>
      </c>
      <c r="AG351" s="56" t="n">
        <f aca="false">ROUND(W350*(1+N(Debts!$D$12)/12),2)</f>
        <v>0</v>
      </c>
      <c r="AH351" s="56" t="n">
        <f aca="false">ROUND(X350*(1+N(Debts!$D$13)/12),2)</f>
        <v>0</v>
      </c>
      <c r="AI351" s="56" t="n">
        <f aca="false">ROUND(Y350*(1+N(Debts!$D$14)/12),2)</f>
        <v>0</v>
      </c>
      <c r="AJ351" s="56" t="n">
        <f aca="false">MIN(Z351,MAX(0,N(Debts!$E$5)))</f>
        <v>0</v>
      </c>
      <c r="AK351" s="56" t="n">
        <f aca="false">MIN(AA351,MAX(0,N(Debts!$E$6)))</f>
        <v>0</v>
      </c>
      <c r="AL351" s="56" t="n">
        <f aca="false">MIN(AB351,MAX(0,N(Debts!$E$7)))</f>
        <v>0</v>
      </c>
      <c r="AM351" s="56" t="n">
        <f aca="false">MIN(AC351,MAX(0,N(Debts!$E$8)))</f>
        <v>0</v>
      </c>
      <c r="AN351" s="56" t="n">
        <f aca="false">MIN(AD351,MAX(0,N(Debts!$E$9)))</f>
        <v>0</v>
      </c>
      <c r="AO351" s="56" t="n">
        <f aca="false">MIN(AE351,MAX(0,N(Debts!$E$10)))</f>
        <v>0</v>
      </c>
      <c r="AP351" s="56" t="n">
        <f aca="false">MIN(AF351,MAX(0,N(Debts!$E$11)))</f>
        <v>0</v>
      </c>
      <c r="AQ351" s="56" t="n">
        <f aca="false">MIN(AG351,MAX(0,N(Debts!$E$12)))</f>
        <v>0</v>
      </c>
      <c r="AR351" s="56" t="n">
        <f aca="false">MIN(AH351,MAX(0,N(Debts!$E$13)))</f>
        <v>0</v>
      </c>
      <c r="AS351" s="56" t="n">
        <f aca="false">MIN(AI351,MAX(0,N(Debts!$E$14)))</f>
        <v>0</v>
      </c>
    </row>
    <row r="352" customFormat="false" ht="15" hidden="false" customHeight="false" outlineLevel="0" collapsed="false">
      <c r="A352" s="53" t="n">
        <v>348</v>
      </c>
      <c r="B352" s="54" t="n">
        <f aca="false">EDATE('Start Here'!$B$8,347)</f>
        <v>56888</v>
      </c>
      <c r="C352" s="42" t="n">
        <f aca="false">SUM(F352:O352)</f>
        <v>0</v>
      </c>
      <c r="D352" s="42" t="n">
        <f aca="false">ROUND(SUM($Z352:$AI352)-SUM(P351:Y351),2)</f>
        <v>0</v>
      </c>
      <c r="E352" s="55" t="n">
        <f aca="false">SUM(P352:Y352)</f>
        <v>0</v>
      </c>
      <c r="F352" s="42" t="n">
        <f aca="false">AJ352+MIN(Z352-AJ352,MAX(0,'Start Here'!$B$10-SUM($AJ352:$AS352)-SUMPRODUCT(($Z$3:$AI$3&lt;Z$3)*($Z352:$AI352-$AJ352:$AS352))))</f>
        <v>0</v>
      </c>
      <c r="G352" s="42" t="n">
        <f aca="false">AK352+MIN(AA352-AK352,MAX(0,'Start Here'!$B$10-SUM($AJ352:$AS352)-SUMPRODUCT(($Z$3:$AI$3&lt;AA$3)*($Z352:$AI352-$AJ352:$AS352))))</f>
        <v>0</v>
      </c>
      <c r="H352" s="42" t="n">
        <f aca="false">AL352+MIN(AB352-AL352,MAX(0,'Start Here'!$B$10-SUM($AJ352:$AS352)-SUMPRODUCT(($Z$3:$AI$3&lt;AB$3)*($Z352:$AI352-$AJ352:$AS352))))</f>
        <v>0</v>
      </c>
      <c r="I352" s="42" t="n">
        <f aca="false">AM352+MIN(AC352-AM352,MAX(0,'Start Here'!$B$10-SUM($AJ352:$AS352)-SUMPRODUCT(($Z$3:$AI$3&lt;AC$3)*($Z352:$AI352-$AJ352:$AS352))))</f>
        <v>0</v>
      </c>
      <c r="J352" s="42" t="n">
        <f aca="false">AN352+MIN(AD352-AN352,MAX(0,'Start Here'!$B$10-SUM($AJ352:$AS352)-SUMPRODUCT(($Z$3:$AI$3&lt;AD$3)*($Z352:$AI352-$AJ352:$AS352))))</f>
        <v>0</v>
      </c>
      <c r="K352" s="42" t="n">
        <f aca="false">AO352+MIN(AE352-AO352,MAX(0,'Start Here'!$B$10-SUM($AJ352:$AS352)-SUMPRODUCT(($Z$3:$AI$3&lt;AE$3)*($Z352:$AI352-$AJ352:$AS352))))</f>
        <v>0</v>
      </c>
      <c r="L352" s="42" t="n">
        <f aca="false">AP352+MIN(AF352-AP352,MAX(0,'Start Here'!$B$10-SUM($AJ352:$AS352)-SUMPRODUCT(($Z$3:$AI$3&lt;AF$3)*($Z352:$AI352-$AJ352:$AS352))))</f>
        <v>0</v>
      </c>
      <c r="M352" s="42" t="n">
        <f aca="false">AQ352+MIN(AG352-AQ352,MAX(0,'Start Here'!$B$10-SUM($AJ352:$AS352)-SUMPRODUCT(($Z$3:$AI$3&lt;AG$3)*($Z352:$AI352-$AJ352:$AS352))))</f>
        <v>0</v>
      </c>
      <c r="N352" s="42" t="n">
        <f aca="false">AR352+MIN(AH352-AR352,MAX(0,'Start Here'!$B$10-SUM($AJ352:$AS352)-SUMPRODUCT(($Z$3:$AI$3&lt;AH$3)*($Z352:$AI352-$AJ352:$AS352))))</f>
        <v>0</v>
      </c>
      <c r="O352" s="42" t="n">
        <f aca="false">AS352+MIN(AI352-AS352,MAX(0,'Start Here'!$B$10-SUM($AJ352:$AS352)-SUMPRODUCT(($Z$3:$AI$3&lt;AI$3)*($Z352:$AI352-$AJ352:$AS352))))</f>
        <v>0</v>
      </c>
      <c r="P352" s="42" t="n">
        <f aca="false">ROUND(Z352-F352,2)</f>
        <v>0</v>
      </c>
      <c r="Q352" s="42" t="n">
        <f aca="false">ROUND(AA352-G352,2)</f>
        <v>0</v>
      </c>
      <c r="R352" s="42" t="n">
        <f aca="false">ROUND(AB352-H352,2)</f>
        <v>0</v>
      </c>
      <c r="S352" s="42" t="n">
        <f aca="false">ROUND(AC352-I352,2)</f>
        <v>0</v>
      </c>
      <c r="T352" s="42" t="n">
        <f aca="false">ROUND(AD352-J352,2)</f>
        <v>0</v>
      </c>
      <c r="U352" s="42" t="n">
        <f aca="false">ROUND(AE352-K352,2)</f>
        <v>0</v>
      </c>
      <c r="V352" s="42" t="n">
        <f aca="false">ROUND(AF352-L352,2)</f>
        <v>0</v>
      </c>
      <c r="W352" s="42" t="n">
        <f aca="false">ROUND(AG352-M352,2)</f>
        <v>0</v>
      </c>
      <c r="X352" s="42" t="n">
        <f aca="false">ROUND(AH352-N352,2)</f>
        <v>0</v>
      </c>
      <c r="Y352" s="42" t="n">
        <f aca="false">ROUND(AI352-O352,2)</f>
        <v>0</v>
      </c>
      <c r="Z352" s="56" t="n">
        <f aca="false">ROUND(P351*(1+N(Debts!$D$5)/12),2)</f>
        <v>0</v>
      </c>
      <c r="AA352" s="56" t="n">
        <f aca="false">ROUND(Q351*(1+N(Debts!$D$6)/12),2)</f>
        <v>0</v>
      </c>
      <c r="AB352" s="56" t="n">
        <f aca="false">ROUND(R351*(1+N(Debts!$D$7)/12),2)</f>
        <v>0</v>
      </c>
      <c r="AC352" s="56" t="n">
        <f aca="false">ROUND(S351*(1+N(Debts!$D$8)/12),2)</f>
        <v>0</v>
      </c>
      <c r="AD352" s="56" t="n">
        <f aca="false">ROUND(T351*(1+N(Debts!$D$9)/12),2)</f>
        <v>0</v>
      </c>
      <c r="AE352" s="56" t="n">
        <f aca="false">ROUND(U351*(1+N(Debts!$D$10)/12),2)</f>
        <v>0</v>
      </c>
      <c r="AF352" s="56" t="n">
        <f aca="false">ROUND(V351*(1+N(Debts!$D$11)/12),2)</f>
        <v>0</v>
      </c>
      <c r="AG352" s="56" t="n">
        <f aca="false">ROUND(W351*(1+N(Debts!$D$12)/12),2)</f>
        <v>0</v>
      </c>
      <c r="AH352" s="56" t="n">
        <f aca="false">ROUND(X351*(1+N(Debts!$D$13)/12),2)</f>
        <v>0</v>
      </c>
      <c r="AI352" s="56" t="n">
        <f aca="false">ROUND(Y351*(1+N(Debts!$D$14)/12),2)</f>
        <v>0</v>
      </c>
      <c r="AJ352" s="56" t="n">
        <f aca="false">MIN(Z352,MAX(0,N(Debts!$E$5)))</f>
        <v>0</v>
      </c>
      <c r="AK352" s="56" t="n">
        <f aca="false">MIN(AA352,MAX(0,N(Debts!$E$6)))</f>
        <v>0</v>
      </c>
      <c r="AL352" s="56" t="n">
        <f aca="false">MIN(AB352,MAX(0,N(Debts!$E$7)))</f>
        <v>0</v>
      </c>
      <c r="AM352" s="56" t="n">
        <f aca="false">MIN(AC352,MAX(0,N(Debts!$E$8)))</f>
        <v>0</v>
      </c>
      <c r="AN352" s="56" t="n">
        <f aca="false">MIN(AD352,MAX(0,N(Debts!$E$9)))</f>
        <v>0</v>
      </c>
      <c r="AO352" s="56" t="n">
        <f aca="false">MIN(AE352,MAX(0,N(Debts!$E$10)))</f>
        <v>0</v>
      </c>
      <c r="AP352" s="56" t="n">
        <f aca="false">MIN(AF352,MAX(0,N(Debts!$E$11)))</f>
        <v>0</v>
      </c>
      <c r="AQ352" s="56" t="n">
        <f aca="false">MIN(AG352,MAX(0,N(Debts!$E$12)))</f>
        <v>0</v>
      </c>
      <c r="AR352" s="56" t="n">
        <f aca="false">MIN(AH352,MAX(0,N(Debts!$E$13)))</f>
        <v>0</v>
      </c>
      <c r="AS352" s="56" t="n">
        <f aca="false">MIN(AI352,MAX(0,N(Debts!$E$14)))</f>
        <v>0</v>
      </c>
    </row>
    <row r="353" customFormat="false" ht="15" hidden="false" customHeight="false" outlineLevel="0" collapsed="false">
      <c r="A353" s="53" t="n">
        <v>349</v>
      </c>
      <c r="B353" s="54" t="n">
        <f aca="false">EDATE('Start Here'!$B$8,348)</f>
        <v>56919</v>
      </c>
      <c r="C353" s="42" t="n">
        <f aca="false">SUM(F353:O353)</f>
        <v>0</v>
      </c>
      <c r="D353" s="42" t="n">
        <f aca="false">ROUND(SUM($Z353:$AI353)-SUM(P352:Y352),2)</f>
        <v>0</v>
      </c>
      <c r="E353" s="55" t="n">
        <f aca="false">SUM(P353:Y353)</f>
        <v>0</v>
      </c>
      <c r="F353" s="42" t="n">
        <f aca="false">AJ353+MIN(Z353-AJ353,MAX(0,'Start Here'!$B$10-SUM($AJ353:$AS353)-SUMPRODUCT(($Z$3:$AI$3&lt;Z$3)*($Z353:$AI353-$AJ353:$AS353))))</f>
        <v>0</v>
      </c>
      <c r="G353" s="42" t="n">
        <f aca="false">AK353+MIN(AA353-AK353,MAX(0,'Start Here'!$B$10-SUM($AJ353:$AS353)-SUMPRODUCT(($Z$3:$AI$3&lt;AA$3)*($Z353:$AI353-$AJ353:$AS353))))</f>
        <v>0</v>
      </c>
      <c r="H353" s="42" t="n">
        <f aca="false">AL353+MIN(AB353-AL353,MAX(0,'Start Here'!$B$10-SUM($AJ353:$AS353)-SUMPRODUCT(($Z$3:$AI$3&lt;AB$3)*($Z353:$AI353-$AJ353:$AS353))))</f>
        <v>0</v>
      </c>
      <c r="I353" s="42" t="n">
        <f aca="false">AM353+MIN(AC353-AM353,MAX(0,'Start Here'!$B$10-SUM($AJ353:$AS353)-SUMPRODUCT(($Z$3:$AI$3&lt;AC$3)*($Z353:$AI353-$AJ353:$AS353))))</f>
        <v>0</v>
      </c>
      <c r="J353" s="42" t="n">
        <f aca="false">AN353+MIN(AD353-AN353,MAX(0,'Start Here'!$B$10-SUM($AJ353:$AS353)-SUMPRODUCT(($Z$3:$AI$3&lt;AD$3)*($Z353:$AI353-$AJ353:$AS353))))</f>
        <v>0</v>
      </c>
      <c r="K353" s="42" t="n">
        <f aca="false">AO353+MIN(AE353-AO353,MAX(0,'Start Here'!$B$10-SUM($AJ353:$AS353)-SUMPRODUCT(($Z$3:$AI$3&lt;AE$3)*($Z353:$AI353-$AJ353:$AS353))))</f>
        <v>0</v>
      </c>
      <c r="L353" s="42" t="n">
        <f aca="false">AP353+MIN(AF353-AP353,MAX(0,'Start Here'!$B$10-SUM($AJ353:$AS353)-SUMPRODUCT(($Z$3:$AI$3&lt;AF$3)*($Z353:$AI353-$AJ353:$AS353))))</f>
        <v>0</v>
      </c>
      <c r="M353" s="42" t="n">
        <f aca="false">AQ353+MIN(AG353-AQ353,MAX(0,'Start Here'!$B$10-SUM($AJ353:$AS353)-SUMPRODUCT(($Z$3:$AI$3&lt;AG$3)*($Z353:$AI353-$AJ353:$AS353))))</f>
        <v>0</v>
      </c>
      <c r="N353" s="42" t="n">
        <f aca="false">AR353+MIN(AH353-AR353,MAX(0,'Start Here'!$B$10-SUM($AJ353:$AS353)-SUMPRODUCT(($Z$3:$AI$3&lt;AH$3)*($Z353:$AI353-$AJ353:$AS353))))</f>
        <v>0</v>
      </c>
      <c r="O353" s="42" t="n">
        <f aca="false">AS353+MIN(AI353-AS353,MAX(0,'Start Here'!$B$10-SUM($AJ353:$AS353)-SUMPRODUCT(($Z$3:$AI$3&lt;AI$3)*($Z353:$AI353-$AJ353:$AS353))))</f>
        <v>0</v>
      </c>
      <c r="P353" s="42" t="n">
        <f aca="false">ROUND(Z353-F353,2)</f>
        <v>0</v>
      </c>
      <c r="Q353" s="42" t="n">
        <f aca="false">ROUND(AA353-G353,2)</f>
        <v>0</v>
      </c>
      <c r="R353" s="42" t="n">
        <f aca="false">ROUND(AB353-H353,2)</f>
        <v>0</v>
      </c>
      <c r="S353" s="42" t="n">
        <f aca="false">ROUND(AC353-I353,2)</f>
        <v>0</v>
      </c>
      <c r="T353" s="42" t="n">
        <f aca="false">ROUND(AD353-J353,2)</f>
        <v>0</v>
      </c>
      <c r="U353" s="42" t="n">
        <f aca="false">ROUND(AE353-K353,2)</f>
        <v>0</v>
      </c>
      <c r="V353" s="42" t="n">
        <f aca="false">ROUND(AF353-L353,2)</f>
        <v>0</v>
      </c>
      <c r="W353" s="42" t="n">
        <f aca="false">ROUND(AG353-M353,2)</f>
        <v>0</v>
      </c>
      <c r="X353" s="42" t="n">
        <f aca="false">ROUND(AH353-N353,2)</f>
        <v>0</v>
      </c>
      <c r="Y353" s="42" t="n">
        <f aca="false">ROUND(AI353-O353,2)</f>
        <v>0</v>
      </c>
      <c r="Z353" s="56" t="n">
        <f aca="false">ROUND(P352*(1+N(Debts!$D$5)/12),2)</f>
        <v>0</v>
      </c>
      <c r="AA353" s="56" t="n">
        <f aca="false">ROUND(Q352*(1+N(Debts!$D$6)/12),2)</f>
        <v>0</v>
      </c>
      <c r="AB353" s="56" t="n">
        <f aca="false">ROUND(R352*(1+N(Debts!$D$7)/12),2)</f>
        <v>0</v>
      </c>
      <c r="AC353" s="56" t="n">
        <f aca="false">ROUND(S352*(1+N(Debts!$D$8)/12),2)</f>
        <v>0</v>
      </c>
      <c r="AD353" s="56" t="n">
        <f aca="false">ROUND(T352*(1+N(Debts!$D$9)/12),2)</f>
        <v>0</v>
      </c>
      <c r="AE353" s="56" t="n">
        <f aca="false">ROUND(U352*(1+N(Debts!$D$10)/12),2)</f>
        <v>0</v>
      </c>
      <c r="AF353" s="56" t="n">
        <f aca="false">ROUND(V352*(1+N(Debts!$D$11)/12),2)</f>
        <v>0</v>
      </c>
      <c r="AG353" s="56" t="n">
        <f aca="false">ROUND(W352*(1+N(Debts!$D$12)/12),2)</f>
        <v>0</v>
      </c>
      <c r="AH353" s="56" t="n">
        <f aca="false">ROUND(X352*(1+N(Debts!$D$13)/12),2)</f>
        <v>0</v>
      </c>
      <c r="AI353" s="56" t="n">
        <f aca="false">ROUND(Y352*(1+N(Debts!$D$14)/12),2)</f>
        <v>0</v>
      </c>
      <c r="AJ353" s="56" t="n">
        <f aca="false">MIN(Z353,MAX(0,N(Debts!$E$5)))</f>
        <v>0</v>
      </c>
      <c r="AK353" s="56" t="n">
        <f aca="false">MIN(AA353,MAX(0,N(Debts!$E$6)))</f>
        <v>0</v>
      </c>
      <c r="AL353" s="56" t="n">
        <f aca="false">MIN(AB353,MAX(0,N(Debts!$E$7)))</f>
        <v>0</v>
      </c>
      <c r="AM353" s="56" t="n">
        <f aca="false">MIN(AC353,MAX(0,N(Debts!$E$8)))</f>
        <v>0</v>
      </c>
      <c r="AN353" s="56" t="n">
        <f aca="false">MIN(AD353,MAX(0,N(Debts!$E$9)))</f>
        <v>0</v>
      </c>
      <c r="AO353" s="56" t="n">
        <f aca="false">MIN(AE353,MAX(0,N(Debts!$E$10)))</f>
        <v>0</v>
      </c>
      <c r="AP353" s="56" t="n">
        <f aca="false">MIN(AF353,MAX(0,N(Debts!$E$11)))</f>
        <v>0</v>
      </c>
      <c r="AQ353" s="56" t="n">
        <f aca="false">MIN(AG353,MAX(0,N(Debts!$E$12)))</f>
        <v>0</v>
      </c>
      <c r="AR353" s="56" t="n">
        <f aca="false">MIN(AH353,MAX(0,N(Debts!$E$13)))</f>
        <v>0</v>
      </c>
      <c r="AS353" s="56" t="n">
        <f aca="false">MIN(AI353,MAX(0,N(Debts!$E$14)))</f>
        <v>0</v>
      </c>
    </row>
    <row r="354" customFormat="false" ht="15" hidden="false" customHeight="false" outlineLevel="0" collapsed="false">
      <c r="A354" s="53" t="n">
        <v>350</v>
      </c>
      <c r="B354" s="54" t="n">
        <f aca="false">EDATE('Start Here'!$B$8,349)</f>
        <v>56949</v>
      </c>
      <c r="C354" s="42" t="n">
        <f aca="false">SUM(F354:O354)</f>
        <v>0</v>
      </c>
      <c r="D354" s="42" t="n">
        <f aca="false">ROUND(SUM($Z354:$AI354)-SUM(P353:Y353),2)</f>
        <v>0</v>
      </c>
      <c r="E354" s="55" t="n">
        <f aca="false">SUM(P354:Y354)</f>
        <v>0</v>
      </c>
      <c r="F354" s="42" t="n">
        <f aca="false">AJ354+MIN(Z354-AJ354,MAX(0,'Start Here'!$B$10-SUM($AJ354:$AS354)-SUMPRODUCT(($Z$3:$AI$3&lt;Z$3)*($Z354:$AI354-$AJ354:$AS354))))</f>
        <v>0</v>
      </c>
      <c r="G354" s="42" t="n">
        <f aca="false">AK354+MIN(AA354-AK354,MAX(0,'Start Here'!$B$10-SUM($AJ354:$AS354)-SUMPRODUCT(($Z$3:$AI$3&lt;AA$3)*($Z354:$AI354-$AJ354:$AS354))))</f>
        <v>0</v>
      </c>
      <c r="H354" s="42" t="n">
        <f aca="false">AL354+MIN(AB354-AL354,MAX(0,'Start Here'!$B$10-SUM($AJ354:$AS354)-SUMPRODUCT(($Z$3:$AI$3&lt;AB$3)*($Z354:$AI354-$AJ354:$AS354))))</f>
        <v>0</v>
      </c>
      <c r="I354" s="42" t="n">
        <f aca="false">AM354+MIN(AC354-AM354,MAX(0,'Start Here'!$B$10-SUM($AJ354:$AS354)-SUMPRODUCT(($Z$3:$AI$3&lt;AC$3)*($Z354:$AI354-$AJ354:$AS354))))</f>
        <v>0</v>
      </c>
      <c r="J354" s="42" t="n">
        <f aca="false">AN354+MIN(AD354-AN354,MAX(0,'Start Here'!$B$10-SUM($AJ354:$AS354)-SUMPRODUCT(($Z$3:$AI$3&lt;AD$3)*($Z354:$AI354-$AJ354:$AS354))))</f>
        <v>0</v>
      </c>
      <c r="K354" s="42" t="n">
        <f aca="false">AO354+MIN(AE354-AO354,MAX(0,'Start Here'!$B$10-SUM($AJ354:$AS354)-SUMPRODUCT(($Z$3:$AI$3&lt;AE$3)*($Z354:$AI354-$AJ354:$AS354))))</f>
        <v>0</v>
      </c>
      <c r="L354" s="42" t="n">
        <f aca="false">AP354+MIN(AF354-AP354,MAX(0,'Start Here'!$B$10-SUM($AJ354:$AS354)-SUMPRODUCT(($Z$3:$AI$3&lt;AF$3)*($Z354:$AI354-$AJ354:$AS354))))</f>
        <v>0</v>
      </c>
      <c r="M354" s="42" t="n">
        <f aca="false">AQ354+MIN(AG354-AQ354,MAX(0,'Start Here'!$B$10-SUM($AJ354:$AS354)-SUMPRODUCT(($Z$3:$AI$3&lt;AG$3)*($Z354:$AI354-$AJ354:$AS354))))</f>
        <v>0</v>
      </c>
      <c r="N354" s="42" t="n">
        <f aca="false">AR354+MIN(AH354-AR354,MAX(0,'Start Here'!$B$10-SUM($AJ354:$AS354)-SUMPRODUCT(($Z$3:$AI$3&lt;AH$3)*($Z354:$AI354-$AJ354:$AS354))))</f>
        <v>0</v>
      </c>
      <c r="O354" s="42" t="n">
        <f aca="false">AS354+MIN(AI354-AS354,MAX(0,'Start Here'!$B$10-SUM($AJ354:$AS354)-SUMPRODUCT(($Z$3:$AI$3&lt;AI$3)*($Z354:$AI354-$AJ354:$AS354))))</f>
        <v>0</v>
      </c>
      <c r="P354" s="42" t="n">
        <f aca="false">ROUND(Z354-F354,2)</f>
        <v>0</v>
      </c>
      <c r="Q354" s="42" t="n">
        <f aca="false">ROUND(AA354-G354,2)</f>
        <v>0</v>
      </c>
      <c r="R354" s="42" t="n">
        <f aca="false">ROUND(AB354-H354,2)</f>
        <v>0</v>
      </c>
      <c r="S354" s="42" t="n">
        <f aca="false">ROUND(AC354-I354,2)</f>
        <v>0</v>
      </c>
      <c r="T354" s="42" t="n">
        <f aca="false">ROUND(AD354-J354,2)</f>
        <v>0</v>
      </c>
      <c r="U354" s="42" t="n">
        <f aca="false">ROUND(AE354-K354,2)</f>
        <v>0</v>
      </c>
      <c r="V354" s="42" t="n">
        <f aca="false">ROUND(AF354-L354,2)</f>
        <v>0</v>
      </c>
      <c r="W354" s="42" t="n">
        <f aca="false">ROUND(AG354-M354,2)</f>
        <v>0</v>
      </c>
      <c r="X354" s="42" t="n">
        <f aca="false">ROUND(AH354-N354,2)</f>
        <v>0</v>
      </c>
      <c r="Y354" s="42" t="n">
        <f aca="false">ROUND(AI354-O354,2)</f>
        <v>0</v>
      </c>
      <c r="Z354" s="56" t="n">
        <f aca="false">ROUND(P353*(1+N(Debts!$D$5)/12),2)</f>
        <v>0</v>
      </c>
      <c r="AA354" s="56" t="n">
        <f aca="false">ROUND(Q353*(1+N(Debts!$D$6)/12),2)</f>
        <v>0</v>
      </c>
      <c r="AB354" s="56" t="n">
        <f aca="false">ROUND(R353*(1+N(Debts!$D$7)/12),2)</f>
        <v>0</v>
      </c>
      <c r="AC354" s="56" t="n">
        <f aca="false">ROUND(S353*(1+N(Debts!$D$8)/12),2)</f>
        <v>0</v>
      </c>
      <c r="AD354" s="56" t="n">
        <f aca="false">ROUND(T353*(1+N(Debts!$D$9)/12),2)</f>
        <v>0</v>
      </c>
      <c r="AE354" s="56" t="n">
        <f aca="false">ROUND(U353*(1+N(Debts!$D$10)/12),2)</f>
        <v>0</v>
      </c>
      <c r="AF354" s="56" t="n">
        <f aca="false">ROUND(V353*(1+N(Debts!$D$11)/12),2)</f>
        <v>0</v>
      </c>
      <c r="AG354" s="56" t="n">
        <f aca="false">ROUND(W353*(1+N(Debts!$D$12)/12),2)</f>
        <v>0</v>
      </c>
      <c r="AH354" s="56" t="n">
        <f aca="false">ROUND(X353*(1+N(Debts!$D$13)/12),2)</f>
        <v>0</v>
      </c>
      <c r="AI354" s="56" t="n">
        <f aca="false">ROUND(Y353*(1+N(Debts!$D$14)/12),2)</f>
        <v>0</v>
      </c>
      <c r="AJ354" s="56" t="n">
        <f aca="false">MIN(Z354,MAX(0,N(Debts!$E$5)))</f>
        <v>0</v>
      </c>
      <c r="AK354" s="56" t="n">
        <f aca="false">MIN(AA354,MAX(0,N(Debts!$E$6)))</f>
        <v>0</v>
      </c>
      <c r="AL354" s="56" t="n">
        <f aca="false">MIN(AB354,MAX(0,N(Debts!$E$7)))</f>
        <v>0</v>
      </c>
      <c r="AM354" s="56" t="n">
        <f aca="false">MIN(AC354,MAX(0,N(Debts!$E$8)))</f>
        <v>0</v>
      </c>
      <c r="AN354" s="56" t="n">
        <f aca="false">MIN(AD354,MAX(0,N(Debts!$E$9)))</f>
        <v>0</v>
      </c>
      <c r="AO354" s="56" t="n">
        <f aca="false">MIN(AE354,MAX(0,N(Debts!$E$10)))</f>
        <v>0</v>
      </c>
      <c r="AP354" s="56" t="n">
        <f aca="false">MIN(AF354,MAX(0,N(Debts!$E$11)))</f>
        <v>0</v>
      </c>
      <c r="AQ354" s="56" t="n">
        <f aca="false">MIN(AG354,MAX(0,N(Debts!$E$12)))</f>
        <v>0</v>
      </c>
      <c r="AR354" s="56" t="n">
        <f aca="false">MIN(AH354,MAX(0,N(Debts!$E$13)))</f>
        <v>0</v>
      </c>
      <c r="AS354" s="56" t="n">
        <f aca="false">MIN(AI354,MAX(0,N(Debts!$E$14)))</f>
        <v>0</v>
      </c>
    </row>
    <row r="355" customFormat="false" ht="15" hidden="false" customHeight="false" outlineLevel="0" collapsed="false">
      <c r="A355" s="53" t="n">
        <v>351</v>
      </c>
      <c r="B355" s="54" t="n">
        <f aca="false">EDATE('Start Here'!$B$8,350)</f>
        <v>56980</v>
      </c>
      <c r="C355" s="42" t="n">
        <f aca="false">SUM(F355:O355)</f>
        <v>0</v>
      </c>
      <c r="D355" s="42" t="n">
        <f aca="false">ROUND(SUM($Z355:$AI355)-SUM(P354:Y354),2)</f>
        <v>0</v>
      </c>
      <c r="E355" s="55" t="n">
        <f aca="false">SUM(P355:Y355)</f>
        <v>0</v>
      </c>
      <c r="F355" s="42" t="n">
        <f aca="false">AJ355+MIN(Z355-AJ355,MAX(0,'Start Here'!$B$10-SUM($AJ355:$AS355)-SUMPRODUCT(($Z$3:$AI$3&lt;Z$3)*($Z355:$AI355-$AJ355:$AS355))))</f>
        <v>0</v>
      </c>
      <c r="G355" s="42" t="n">
        <f aca="false">AK355+MIN(AA355-AK355,MAX(0,'Start Here'!$B$10-SUM($AJ355:$AS355)-SUMPRODUCT(($Z$3:$AI$3&lt;AA$3)*($Z355:$AI355-$AJ355:$AS355))))</f>
        <v>0</v>
      </c>
      <c r="H355" s="42" t="n">
        <f aca="false">AL355+MIN(AB355-AL355,MAX(0,'Start Here'!$B$10-SUM($AJ355:$AS355)-SUMPRODUCT(($Z$3:$AI$3&lt;AB$3)*($Z355:$AI355-$AJ355:$AS355))))</f>
        <v>0</v>
      </c>
      <c r="I355" s="42" t="n">
        <f aca="false">AM355+MIN(AC355-AM355,MAX(0,'Start Here'!$B$10-SUM($AJ355:$AS355)-SUMPRODUCT(($Z$3:$AI$3&lt;AC$3)*($Z355:$AI355-$AJ355:$AS355))))</f>
        <v>0</v>
      </c>
      <c r="J355" s="42" t="n">
        <f aca="false">AN355+MIN(AD355-AN355,MAX(0,'Start Here'!$B$10-SUM($AJ355:$AS355)-SUMPRODUCT(($Z$3:$AI$3&lt;AD$3)*($Z355:$AI355-$AJ355:$AS355))))</f>
        <v>0</v>
      </c>
      <c r="K355" s="42" t="n">
        <f aca="false">AO355+MIN(AE355-AO355,MAX(0,'Start Here'!$B$10-SUM($AJ355:$AS355)-SUMPRODUCT(($Z$3:$AI$3&lt;AE$3)*($Z355:$AI355-$AJ355:$AS355))))</f>
        <v>0</v>
      </c>
      <c r="L355" s="42" t="n">
        <f aca="false">AP355+MIN(AF355-AP355,MAX(0,'Start Here'!$B$10-SUM($AJ355:$AS355)-SUMPRODUCT(($Z$3:$AI$3&lt;AF$3)*($Z355:$AI355-$AJ355:$AS355))))</f>
        <v>0</v>
      </c>
      <c r="M355" s="42" t="n">
        <f aca="false">AQ355+MIN(AG355-AQ355,MAX(0,'Start Here'!$B$10-SUM($AJ355:$AS355)-SUMPRODUCT(($Z$3:$AI$3&lt;AG$3)*($Z355:$AI355-$AJ355:$AS355))))</f>
        <v>0</v>
      </c>
      <c r="N355" s="42" t="n">
        <f aca="false">AR355+MIN(AH355-AR355,MAX(0,'Start Here'!$B$10-SUM($AJ355:$AS355)-SUMPRODUCT(($Z$3:$AI$3&lt;AH$3)*($Z355:$AI355-$AJ355:$AS355))))</f>
        <v>0</v>
      </c>
      <c r="O355" s="42" t="n">
        <f aca="false">AS355+MIN(AI355-AS355,MAX(0,'Start Here'!$B$10-SUM($AJ355:$AS355)-SUMPRODUCT(($Z$3:$AI$3&lt;AI$3)*($Z355:$AI355-$AJ355:$AS355))))</f>
        <v>0</v>
      </c>
      <c r="P355" s="42" t="n">
        <f aca="false">ROUND(Z355-F355,2)</f>
        <v>0</v>
      </c>
      <c r="Q355" s="42" t="n">
        <f aca="false">ROUND(AA355-G355,2)</f>
        <v>0</v>
      </c>
      <c r="R355" s="42" t="n">
        <f aca="false">ROUND(AB355-H355,2)</f>
        <v>0</v>
      </c>
      <c r="S355" s="42" t="n">
        <f aca="false">ROUND(AC355-I355,2)</f>
        <v>0</v>
      </c>
      <c r="T355" s="42" t="n">
        <f aca="false">ROUND(AD355-J355,2)</f>
        <v>0</v>
      </c>
      <c r="U355" s="42" t="n">
        <f aca="false">ROUND(AE355-K355,2)</f>
        <v>0</v>
      </c>
      <c r="V355" s="42" t="n">
        <f aca="false">ROUND(AF355-L355,2)</f>
        <v>0</v>
      </c>
      <c r="W355" s="42" t="n">
        <f aca="false">ROUND(AG355-M355,2)</f>
        <v>0</v>
      </c>
      <c r="X355" s="42" t="n">
        <f aca="false">ROUND(AH355-N355,2)</f>
        <v>0</v>
      </c>
      <c r="Y355" s="42" t="n">
        <f aca="false">ROUND(AI355-O355,2)</f>
        <v>0</v>
      </c>
      <c r="Z355" s="56" t="n">
        <f aca="false">ROUND(P354*(1+N(Debts!$D$5)/12),2)</f>
        <v>0</v>
      </c>
      <c r="AA355" s="56" t="n">
        <f aca="false">ROUND(Q354*(1+N(Debts!$D$6)/12),2)</f>
        <v>0</v>
      </c>
      <c r="AB355" s="56" t="n">
        <f aca="false">ROUND(R354*(1+N(Debts!$D$7)/12),2)</f>
        <v>0</v>
      </c>
      <c r="AC355" s="56" t="n">
        <f aca="false">ROUND(S354*(1+N(Debts!$D$8)/12),2)</f>
        <v>0</v>
      </c>
      <c r="AD355" s="56" t="n">
        <f aca="false">ROUND(T354*(1+N(Debts!$D$9)/12),2)</f>
        <v>0</v>
      </c>
      <c r="AE355" s="56" t="n">
        <f aca="false">ROUND(U354*(1+N(Debts!$D$10)/12),2)</f>
        <v>0</v>
      </c>
      <c r="AF355" s="56" t="n">
        <f aca="false">ROUND(V354*(1+N(Debts!$D$11)/12),2)</f>
        <v>0</v>
      </c>
      <c r="AG355" s="56" t="n">
        <f aca="false">ROUND(W354*(1+N(Debts!$D$12)/12),2)</f>
        <v>0</v>
      </c>
      <c r="AH355" s="56" t="n">
        <f aca="false">ROUND(X354*(1+N(Debts!$D$13)/12),2)</f>
        <v>0</v>
      </c>
      <c r="AI355" s="56" t="n">
        <f aca="false">ROUND(Y354*(1+N(Debts!$D$14)/12),2)</f>
        <v>0</v>
      </c>
      <c r="AJ355" s="56" t="n">
        <f aca="false">MIN(Z355,MAX(0,N(Debts!$E$5)))</f>
        <v>0</v>
      </c>
      <c r="AK355" s="56" t="n">
        <f aca="false">MIN(AA355,MAX(0,N(Debts!$E$6)))</f>
        <v>0</v>
      </c>
      <c r="AL355" s="56" t="n">
        <f aca="false">MIN(AB355,MAX(0,N(Debts!$E$7)))</f>
        <v>0</v>
      </c>
      <c r="AM355" s="56" t="n">
        <f aca="false">MIN(AC355,MAX(0,N(Debts!$E$8)))</f>
        <v>0</v>
      </c>
      <c r="AN355" s="56" t="n">
        <f aca="false">MIN(AD355,MAX(0,N(Debts!$E$9)))</f>
        <v>0</v>
      </c>
      <c r="AO355" s="56" t="n">
        <f aca="false">MIN(AE355,MAX(0,N(Debts!$E$10)))</f>
        <v>0</v>
      </c>
      <c r="AP355" s="56" t="n">
        <f aca="false">MIN(AF355,MAX(0,N(Debts!$E$11)))</f>
        <v>0</v>
      </c>
      <c r="AQ355" s="56" t="n">
        <f aca="false">MIN(AG355,MAX(0,N(Debts!$E$12)))</f>
        <v>0</v>
      </c>
      <c r="AR355" s="56" t="n">
        <f aca="false">MIN(AH355,MAX(0,N(Debts!$E$13)))</f>
        <v>0</v>
      </c>
      <c r="AS355" s="56" t="n">
        <f aca="false">MIN(AI355,MAX(0,N(Debts!$E$14)))</f>
        <v>0</v>
      </c>
    </row>
    <row r="356" customFormat="false" ht="15" hidden="false" customHeight="false" outlineLevel="0" collapsed="false">
      <c r="A356" s="53" t="n">
        <v>352</v>
      </c>
      <c r="B356" s="54" t="n">
        <f aca="false">EDATE('Start Here'!$B$8,351)</f>
        <v>57011</v>
      </c>
      <c r="C356" s="42" t="n">
        <f aca="false">SUM(F356:O356)</f>
        <v>0</v>
      </c>
      <c r="D356" s="42" t="n">
        <f aca="false">ROUND(SUM($Z356:$AI356)-SUM(P355:Y355),2)</f>
        <v>0</v>
      </c>
      <c r="E356" s="55" t="n">
        <f aca="false">SUM(P356:Y356)</f>
        <v>0</v>
      </c>
      <c r="F356" s="42" t="n">
        <f aca="false">AJ356+MIN(Z356-AJ356,MAX(0,'Start Here'!$B$10-SUM($AJ356:$AS356)-SUMPRODUCT(($Z$3:$AI$3&lt;Z$3)*($Z356:$AI356-$AJ356:$AS356))))</f>
        <v>0</v>
      </c>
      <c r="G356" s="42" t="n">
        <f aca="false">AK356+MIN(AA356-AK356,MAX(0,'Start Here'!$B$10-SUM($AJ356:$AS356)-SUMPRODUCT(($Z$3:$AI$3&lt;AA$3)*($Z356:$AI356-$AJ356:$AS356))))</f>
        <v>0</v>
      </c>
      <c r="H356" s="42" t="n">
        <f aca="false">AL356+MIN(AB356-AL356,MAX(0,'Start Here'!$B$10-SUM($AJ356:$AS356)-SUMPRODUCT(($Z$3:$AI$3&lt;AB$3)*($Z356:$AI356-$AJ356:$AS356))))</f>
        <v>0</v>
      </c>
      <c r="I356" s="42" t="n">
        <f aca="false">AM356+MIN(AC356-AM356,MAX(0,'Start Here'!$B$10-SUM($AJ356:$AS356)-SUMPRODUCT(($Z$3:$AI$3&lt;AC$3)*($Z356:$AI356-$AJ356:$AS356))))</f>
        <v>0</v>
      </c>
      <c r="J356" s="42" t="n">
        <f aca="false">AN356+MIN(AD356-AN356,MAX(0,'Start Here'!$B$10-SUM($AJ356:$AS356)-SUMPRODUCT(($Z$3:$AI$3&lt;AD$3)*($Z356:$AI356-$AJ356:$AS356))))</f>
        <v>0</v>
      </c>
      <c r="K356" s="42" t="n">
        <f aca="false">AO356+MIN(AE356-AO356,MAX(0,'Start Here'!$B$10-SUM($AJ356:$AS356)-SUMPRODUCT(($Z$3:$AI$3&lt;AE$3)*($Z356:$AI356-$AJ356:$AS356))))</f>
        <v>0</v>
      </c>
      <c r="L356" s="42" t="n">
        <f aca="false">AP356+MIN(AF356-AP356,MAX(0,'Start Here'!$B$10-SUM($AJ356:$AS356)-SUMPRODUCT(($Z$3:$AI$3&lt;AF$3)*($Z356:$AI356-$AJ356:$AS356))))</f>
        <v>0</v>
      </c>
      <c r="M356" s="42" t="n">
        <f aca="false">AQ356+MIN(AG356-AQ356,MAX(0,'Start Here'!$B$10-SUM($AJ356:$AS356)-SUMPRODUCT(($Z$3:$AI$3&lt;AG$3)*($Z356:$AI356-$AJ356:$AS356))))</f>
        <v>0</v>
      </c>
      <c r="N356" s="42" t="n">
        <f aca="false">AR356+MIN(AH356-AR356,MAX(0,'Start Here'!$B$10-SUM($AJ356:$AS356)-SUMPRODUCT(($Z$3:$AI$3&lt;AH$3)*($Z356:$AI356-$AJ356:$AS356))))</f>
        <v>0</v>
      </c>
      <c r="O356" s="42" t="n">
        <f aca="false">AS356+MIN(AI356-AS356,MAX(0,'Start Here'!$B$10-SUM($AJ356:$AS356)-SUMPRODUCT(($Z$3:$AI$3&lt;AI$3)*($Z356:$AI356-$AJ356:$AS356))))</f>
        <v>0</v>
      </c>
      <c r="P356" s="42" t="n">
        <f aca="false">ROUND(Z356-F356,2)</f>
        <v>0</v>
      </c>
      <c r="Q356" s="42" t="n">
        <f aca="false">ROUND(AA356-G356,2)</f>
        <v>0</v>
      </c>
      <c r="R356" s="42" t="n">
        <f aca="false">ROUND(AB356-H356,2)</f>
        <v>0</v>
      </c>
      <c r="S356" s="42" t="n">
        <f aca="false">ROUND(AC356-I356,2)</f>
        <v>0</v>
      </c>
      <c r="T356" s="42" t="n">
        <f aca="false">ROUND(AD356-J356,2)</f>
        <v>0</v>
      </c>
      <c r="U356" s="42" t="n">
        <f aca="false">ROUND(AE356-K356,2)</f>
        <v>0</v>
      </c>
      <c r="V356" s="42" t="n">
        <f aca="false">ROUND(AF356-L356,2)</f>
        <v>0</v>
      </c>
      <c r="W356" s="42" t="n">
        <f aca="false">ROUND(AG356-M356,2)</f>
        <v>0</v>
      </c>
      <c r="X356" s="42" t="n">
        <f aca="false">ROUND(AH356-N356,2)</f>
        <v>0</v>
      </c>
      <c r="Y356" s="42" t="n">
        <f aca="false">ROUND(AI356-O356,2)</f>
        <v>0</v>
      </c>
      <c r="Z356" s="56" t="n">
        <f aca="false">ROUND(P355*(1+N(Debts!$D$5)/12),2)</f>
        <v>0</v>
      </c>
      <c r="AA356" s="56" t="n">
        <f aca="false">ROUND(Q355*(1+N(Debts!$D$6)/12),2)</f>
        <v>0</v>
      </c>
      <c r="AB356" s="56" t="n">
        <f aca="false">ROUND(R355*(1+N(Debts!$D$7)/12),2)</f>
        <v>0</v>
      </c>
      <c r="AC356" s="56" t="n">
        <f aca="false">ROUND(S355*(1+N(Debts!$D$8)/12),2)</f>
        <v>0</v>
      </c>
      <c r="AD356" s="56" t="n">
        <f aca="false">ROUND(T355*(1+N(Debts!$D$9)/12),2)</f>
        <v>0</v>
      </c>
      <c r="AE356" s="56" t="n">
        <f aca="false">ROUND(U355*(1+N(Debts!$D$10)/12),2)</f>
        <v>0</v>
      </c>
      <c r="AF356" s="56" t="n">
        <f aca="false">ROUND(V355*(1+N(Debts!$D$11)/12),2)</f>
        <v>0</v>
      </c>
      <c r="AG356" s="56" t="n">
        <f aca="false">ROUND(W355*(1+N(Debts!$D$12)/12),2)</f>
        <v>0</v>
      </c>
      <c r="AH356" s="56" t="n">
        <f aca="false">ROUND(X355*(1+N(Debts!$D$13)/12),2)</f>
        <v>0</v>
      </c>
      <c r="AI356" s="56" t="n">
        <f aca="false">ROUND(Y355*(1+N(Debts!$D$14)/12),2)</f>
        <v>0</v>
      </c>
      <c r="AJ356" s="56" t="n">
        <f aca="false">MIN(Z356,MAX(0,N(Debts!$E$5)))</f>
        <v>0</v>
      </c>
      <c r="AK356" s="56" t="n">
        <f aca="false">MIN(AA356,MAX(0,N(Debts!$E$6)))</f>
        <v>0</v>
      </c>
      <c r="AL356" s="56" t="n">
        <f aca="false">MIN(AB356,MAX(0,N(Debts!$E$7)))</f>
        <v>0</v>
      </c>
      <c r="AM356" s="56" t="n">
        <f aca="false">MIN(AC356,MAX(0,N(Debts!$E$8)))</f>
        <v>0</v>
      </c>
      <c r="AN356" s="56" t="n">
        <f aca="false">MIN(AD356,MAX(0,N(Debts!$E$9)))</f>
        <v>0</v>
      </c>
      <c r="AO356" s="56" t="n">
        <f aca="false">MIN(AE356,MAX(0,N(Debts!$E$10)))</f>
        <v>0</v>
      </c>
      <c r="AP356" s="56" t="n">
        <f aca="false">MIN(AF356,MAX(0,N(Debts!$E$11)))</f>
        <v>0</v>
      </c>
      <c r="AQ356" s="56" t="n">
        <f aca="false">MIN(AG356,MAX(0,N(Debts!$E$12)))</f>
        <v>0</v>
      </c>
      <c r="AR356" s="56" t="n">
        <f aca="false">MIN(AH356,MAX(0,N(Debts!$E$13)))</f>
        <v>0</v>
      </c>
      <c r="AS356" s="56" t="n">
        <f aca="false">MIN(AI356,MAX(0,N(Debts!$E$14)))</f>
        <v>0</v>
      </c>
    </row>
    <row r="357" customFormat="false" ht="15" hidden="false" customHeight="false" outlineLevel="0" collapsed="false">
      <c r="A357" s="53" t="n">
        <v>353</v>
      </c>
      <c r="B357" s="54" t="n">
        <f aca="false">EDATE('Start Here'!$B$8,352)</f>
        <v>57040</v>
      </c>
      <c r="C357" s="42" t="n">
        <f aca="false">SUM(F357:O357)</f>
        <v>0</v>
      </c>
      <c r="D357" s="42" t="n">
        <f aca="false">ROUND(SUM($Z357:$AI357)-SUM(P356:Y356),2)</f>
        <v>0</v>
      </c>
      <c r="E357" s="55" t="n">
        <f aca="false">SUM(P357:Y357)</f>
        <v>0</v>
      </c>
      <c r="F357" s="42" t="n">
        <f aca="false">AJ357+MIN(Z357-AJ357,MAX(0,'Start Here'!$B$10-SUM($AJ357:$AS357)-SUMPRODUCT(($Z$3:$AI$3&lt;Z$3)*($Z357:$AI357-$AJ357:$AS357))))</f>
        <v>0</v>
      </c>
      <c r="G357" s="42" t="n">
        <f aca="false">AK357+MIN(AA357-AK357,MAX(0,'Start Here'!$B$10-SUM($AJ357:$AS357)-SUMPRODUCT(($Z$3:$AI$3&lt;AA$3)*($Z357:$AI357-$AJ357:$AS357))))</f>
        <v>0</v>
      </c>
      <c r="H357" s="42" t="n">
        <f aca="false">AL357+MIN(AB357-AL357,MAX(0,'Start Here'!$B$10-SUM($AJ357:$AS357)-SUMPRODUCT(($Z$3:$AI$3&lt;AB$3)*($Z357:$AI357-$AJ357:$AS357))))</f>
        <v>0</v>
      </c>
      <c r="I357" s="42" t="n">
        <f aca="false">AM357+MIN(AC357-AM357,MAX(0,'Start Here'!$B$10-SUM($AJ357:$AS357)-SUMPRODUCT(($Z$3:$AI$3&lt;AC$3)*($Z357:$AI357-$AJ357:$AS357))))</f>
        <v>0</v>
      </c>
      <c r="J357" s="42" t="n">
        <f aca="false">AN357+MIN(AD357-AN357,MAX(0,'Start Here'!$B$10-SUM($AJ357:$AS357)-SUMPRODUCT(($Z$3:$AI$3&lt;AD$3)*($Z357:$AI357-$AJ357:$AS357))))</f>
        <v>0</v>
      </c>
      <c r="K357" s="42" t="n">
        <f aca="false">AO357+MIN(AE357-AO357,MAX(0,'Start Here'!$B$10-SUM($AJ357:$AS357)-SUMPRODUCT(($Z$3:$AI$3&lt;AE$3)*($Z357:$AI357-$AJ357:$AS357))))</f>
        <v>0</v>
      </c>
      <c r="L357" s="42" t="n">
        <f aca="false">AP357+MIN(AF357-AP357,MAX(0,'Start Here'!$B$10-SUM($AJ357:$AS357)-SUMPRODUCT(($Z$3:$AI$3&lt;AF$3)*($Z357:$AI357-$AJ357:$AS357))))</f>
        <v>0</v>
      </c>
      <c r="M357" s="42" t="n">
        <f aca="false">AQ357+MIN(AG357-AQ357,MAX(0,'Start Here'!$B$10-SUM($AJ357:$AS357)-SUMPRODUCT(($Z$3:$AI$3&lt;AG$3)*($Z357:$AI357-$AJ357:$AS357))))</f>
        <v>0</v>
      </c>
      <c r="N357" s="42" t="n">
        <f aca="false">AR357+MIN(AH357-AR357,MAX(0,'Start Here'!$B$10-SUM($AJ357:$AS357)-SUMPRODUCT(($Z$3:$AI$3&lt;AH$3)*($Z357:$AI357-$AJ357:$AS357))))</f>
        <v>0</v>
      </c>
      <c r="O357" s="42" t="n">
        <f aca="false">AS357+MIN(AI357-AS357,MAX(0,'Start Here'!$B$10-SUM($AJ357:$AS357)-SUMPRODUCT(($Z$3:$AI$3&lt;AI$3)*($Z357:$AI357-$AJ357:$AS357))))</f>
        <v>0</v>
      </c>
      <c r="P357" s="42" t="n">
        <f aca="false">ROUND(Z357-F357,2)</f>
        <v>0</v>
      </c>
      <c r="Q357" s="42" t="n">
        <f aca="false">ROUND(AA357-G357,2)</f>
        <v>0</v>
      </c>
      <c r="R357" s="42" t="n">
        <f aca="false">ROUND(AB357-H357,2)</f>
        <v>0</v>
      </c>
      <c r="S357" s="42" t="n">
        <f aca="false">ROUND(AC357-I357,2)</f>
        <v>0</v>
      </c>
      <c r="T357" s="42" t="n">
        <f aca="false">ROUND(AD357-J357,2)</f>
        <v>0</v>
      </c>
      <c r="U357" s="42" t="n">
        <f aca="false">ROUND(AE357-K357,2)</f>
        <v>0</v>
      </c>
      <c r="V357" s="42" t="n">
        <f aca="false">ROUND(AF357-L357,2)</f>
        <v>0</v>
      </c>
      <c r="W357" s="42" t="n">
        <f aca="false">ROUND(AG357-M357,2)</f>
        <v>0</v>
      </c>
      <c r="X357" s="42" t="n">
        <f aca="false">ROUND(AH357-N357,2)</f>
        <v>0</v>
      </c>
      <c r="Y357" s="42" t="n">
        <f aca="false">ROUND(AI357-O357,2)</f>
        <v>0</v>
      </c>
      <c r="Z357" s="56" t="n">
        <f aca="false">ROUND(P356*(1+N(Debts!$D$5)/12),2)</f>
        <v>0</v>
      </c>
      <c r="AA357" s="56" t="n">
        <f aca="false">ROUND(Q356*(1+N(Debts!$D$6)/12),2)</f>
        <v>0</v>
      </c>
      <c r="AB357" s="56" t="n">
        <f aca="false">ROUND(R356*(1+N(Debts!$D$7)/12),2)</f>
        <v>0</v>
      </c>
      <c r="AC357" s="56" t="n">
        <f aca="false">ROUND(S356*(1+N(Debts!$D$8)/12),2)</f>
        <v>0</v>
      </c>
      <c r="AD357" s="56" t="n">
        <f aca="false">ROUND(T356*(1+N(Debts!$D$9)/12),2)</f>
        <v>0</v>
      </c>
      <c r="AE357" s="56" t="n">
        <f aca="false">ROUND(U356*(1+N(Debts!$D$10)/12),2)</f>
        <v>0</v>
      </c>
      <c r="AF357" s="56" t="n">
        <f aca="false">ROUND(V356*(1+N(Debts!$D$11)/12),2)</f>
        <v>0</v>
      </c>
      <c r="AG357" s="56" t="n">
        <f aca="false">ROUND(W356*(1+N(Debts!$D$12)/12),2)</f>
        <v>0</v>
      </c>
      <c r="AH357" s="56" t="n">
        <f aca="false">ROUND(X356*(1+N(Debts!$D$13)/12),2)</f>
        <v>0</v>
      </c>
      <c r="AI357" s="56" t="n">
        <f aca="false">ROUND(Y356*(1+N(Debts!$D$14)/12),2)</f>
        <v>0</v>
      </c>
      <c r="AJ357" s="56" t="n">
        <f aca="false">MIN(Z357,MAX(0,N(Debts!$E$5)))</f>
        <v>0</v>
      </c>
      <c r="AK357" s="56" t="n">
        <f aca="false">MIN(AA357,MAX(0,N(Debts!$E$6)))</f>
        <v>0</v>
      </c>
      <c r="AL357" s="56" t="n">
        <f aca="false">MIN(AB357,MAX(0,N(Debts!$E$7)))</f>
        <v>0</v>
      </c>
      <c r="AM357" s="56" t="n">
        <f aca="false">MIN(AC357,MAX(0,N(Debts!$E$8)))</f>
        <v>0</v>
      </c>
      <c r="AN357" s="56" t="n">
        <f aca="false">MIN(AD357,MAX(0,N(Debts!$E$9)))</f>
        <v>0</v>
      </c>
      <c r="AO357" s="56" t="n">
        <f aca="false">MIN(AE357,MAX(0,N(Debts!$E$10)))</f>
        <v>0</v>
      </c>
      <c r="AP357" s="56" t="n">
        <f aca="false">MIN(AF357,MAX(0,N(Debts!$E$11)))</f>
        <v>0</v>
      </c>
      <c r="AQ357" s="56" t="n">
        <f aca="false">MIN(AG357,MAX(0,N(Debts!$E$12)))</f>
        <v>0</v>
      </c>
      <c r="AR357" s="56" t="n">
        <f aca="false">MIN(AH357,MAX(0,N(Debts!$E$13)))</f>
        <v>0</v>
      </c>
      <c r="AS357" s="56" t="n">
        <f aca="false">MIN(AI357,MAX(0,N(Debts!$E$14)))</f>
        <v>0</v>
      </c>
    </row>
    <row r="358" customFormat="false" ht="15" hidden="false" customHeight="false" outlineLevel="0" collapsed="false">
      <c r="A358" s="53" t="n">
        <v>354</v>
      </c>
      <c r="B358" s="54" t="n">
        <f aca="false">EDATE('Start Here'!$B$8,353)</f>
        <v>57071</v>
      </c>
      <c r="C358" s="42" t="n">
        <f aca="false">SUM(F358:O358)</f>
        <v>0</v>
      </c>
      <c r="D358" s="42" t="n">
        <f aca="false">ROUND(SUM($Z358:$AI358)-SUM(P357:Y357),2)</f>
        <v>0</v>
      </c>
      <c r="E358" s="55" t="n">
        <f aca="false">SUM(P358:Y358)</f>
        <v>0</v>
      </c>
      <c r="F358" s="42" t="n">
        <f aca="false">AJ358+MIN(Z358-AJ358,MAX(0,'Start Here'!$B$10-SUM($AJ358:$AS358)-SUMPRODUCT(($Z$3:$AI$3&lt;Z$3)*($Z358:$AI358-$AJ358:$AS358))))</f>
        <v>0</v>
      </c>
      <c r="G358" s="42" t="n">
        <f aca="false">AK358+MIN(AA358-AK358,MAX(0,'Start Here'!$B$10-SUM($AJ358:$AS358)-SUMPRODUCT(($Z$3:$AI$3&lt;AA$3)*($Z358:$AI358-$AJ358:$AS358))))</f>
        <v>0</v>
      </c>
      <c r="H358" s="42" t="n">
        <f aca="false">AL358+MIN(AB358-AL358,MAX(0,'Start Here'!$B$10-SUM($AJ358:$AS358)-SUMPRODUCT(($Z$3:$AI$3&lt;AB$3)*($Z358:$AI358-$AJ358:$AS358))))</f>
        <v>0</v>
      </c>
      <c r="I358" s="42" t="n">
        <f aca="false">AM358+MIN(AC358-AM358,MAX(0,'Start Here'!$B$10-SUM($AJ358:$AS358)-SUMPRODUCT(($Z$3:$AI$3&lt;AC$3)*($Z358:$AI358-$AJ358:$AS358))))</f>
        <v>0</v>
      </c>
      <c r="J358" s="42" t="n">
        <f aca="false">AN358+MIN(AD358-AN358,MAX(0,'Start Here'!$B$10-SUM($AJ358:$AS358)-SUMPRODUCT(($Z$3:$AI$3&lt;AD$3)*($Z358:$AI358-$AJ358:$AS358))))</f>
        <v>0</v>
      </c>
      <c r="K358" s="42" t="n">
        <f aca="false">AO358+MIN(AE358-AO358,MAX(0,'Start Here'!$B$10-SUM($AJ358:$AS358)-SUMPRODUCT(($Z$3:$AI$3&lt;AE$3)*($Z358:$AI358-$AJ358:$AS358))))</f>
        <v>0</v>
      </c>
      <c r="L358" s="42" t="n">
        <f aca="false">AP358+MIN(AF358-AP358,MAX(0,'Start Here'!$B$10-SUM($AJ358:$AS358)-SUMPRODUCT(($Z$3:$AI$3&lt;AF$3)*($Z358:$AI358-$AJ358:$AS358))))</f>
        <v>0</v>
      </c>
      <c r="M358" s="42" t="n">
        <f aca="false">AQ358+MIN(AG358-AQ358,MAX(0,'Start Here'!$B$10-SUM($AJ358:$AS358)-SUMPRODUCT(($Z$3:$AI$3&lt;AG$3)*($Z358:$AI358-$AJ358:$AS358))))</f>
        <v>0</v>
      </c>
      <c r="N358" s="42" t="n">
        <f aca="false">AR358+MIN(AH358-AR358,MAX(0,'Start Here'!$B$10-SUM($AJ358:$AS358)-SUMPRODUCT(($Z$3:$AI$3&lt;AH$3)*($Z358:$AI358-$AJ358:$AS358))))</f>
        <v>0</v>
      </c>
      <c r="O358" s="42" t="n">
        <f aca="false">AS358+MIN(AI358-AS358,MAX(0,'Start Here'!$B$10-SUM($AJ358:$AS358)-SUMPRODUCT(($Z$3:$AI$3&lt;AI$3)*($Z358:$AI358-$AJ358:$AS358))))</f>
        <v>0</v>
      </c>
      <c r="P358" s="42" t="n">
        <f aca="false">ROUND(Z358-F358,2)</f>
        <v>0</v>
      </c>
      <c r="Q358" s="42" t="n">
        <f aca="false">ROUND(AA358-G358,2)</f>
        <v>0</v>
      </c>
      <c r="R358" s="42" t="n">
        <f aca="false">ROUND(AB358-H358,2)</f>
        <v>0</v>
      </c>
      <c r="S358" s="42" t="n">
        <f aca="false">ROUND(AC358-I358,2)</f>
        <v>0</v>
      </c>
      <c r="T358" s="42" t="n">
        <f aca="false">ROUND(AD358-J358,2)</f>
        <v>0</v>
      </c>
      <c r="U358" s="42" t="n">
        <f aca="false">ROUND(AE358-K358,2)</f>
        <v>0</v>
      </c>
      <c r="V358" s="42" t="n">
        <f aca="false">ROUND(AF358-L358,2)</f>
        <v>0</v>
      </c>
      <c r="W358" s="42" t="n">
        <f aca="false">ROUND(AG358-M358,2)</f>
        <v>0</v>
      </c>
      <c r="X358" s="42" t="n">
        <f aca="false">ROUND(AH358-N358,2)</f>
        <v>0</v>
      </c>
      <c r="Y358" s="42" t="n">
        <f aca="false">ROUND(AI358-O358,2)</f>
        <v>0</v>
      </c>
      <c r="Z358" s="56" t="n">
        <f aca="false">ROUND(P357*(1+N(Debts!$D$5)/12),2)</f>
        <v>0</v>
      </c>
      <c r="AA358" s="56" t="n">
        <f aca="false">ROUND(Q357*(1+N(Debts!$D$6)/12),2)</f>
        <v>0</v>
      </c>
      <c r="AB358" s="56" t="n">
        <f aca="false">ROUND(R357*(1+N(Debts!$D$7)/12),2)</f>
        <v>0</v>
      </c>
      <c r="AC358" s="56" t="n">
        <f aca="false">ROUND(S357*(1+N(Debts!$D$8)/12),2)</f>
        <v>0</v>
      </c>
      <c r="AD358" s="56" t="n">
        <f aca="false">ROUND(T357*(1+N(Debts!$D$9)/12),2)</f>
        <v>0</v>
      </c>
      <c r="AE358" s="56" t="n">
        <f aca="false">ROUND(U357*(1+N(Debts!$D$10)/12),2)</f>
        <v>0</v>
      </c>
      <c r="AF358" s="56" t="n">
        <f aca="false">ROUND(V357*(1+N(Debts!$D$11)/12),2)</f>
        <v>0</v>
      </c>
      <c r="AG358" s="56" t="n">
        <f aca="false">ROUND(W357*(1+N(Debts!$D$12)/12),2)</f>
        <v>0</v>
      </c>
      <c r="AH358" s="56" t="n">
        <f aca="false">ROUND(X357*(1+N(Debts!$D$13)/12),2)</f>
        <v>0</v>
      </c>
      <c r="AI358" s="56" t="n">
        <f aca="false">ROUND(Y357*(1+N(Debts!$D$14)/12),2)</f>
        <v>0</v>
      </c>
      <c r="AJ358" s="56" t="n">
        <f aca="false">MIN(Z358,MAX(0,N(Debts!$E$5)))</f>
        <v>0</v>
      </c>
      <c r="AK358" s="56" t="n">
        <f aca="false">MIN(AA358,MAX(0,N(Debts!$E$6)))</f>
        <v>0</v>
      </c>
      <c r="AL358" s="56" t="n">
        <f aca="false">MIN(AB358,MAX(0,N(Debts!$E$7)))</f>
        <v>0</v>
      </c>
      <c r="AM358" s="56" t="n">
        <f aca="false">MIN(AC358,MAX(0,N(Debts!$E$8)))</f>
        <v>0</v>
      </c>
      <c r="AN358" s="56" t="n">
        <f aca="false">MIN(AD358,MAX(0,N(Debts!$E$9)))</f>
        <v>0</v>
      </c>
      <c r="AO358" s="56" t="n">
        <f aca="false">MIN(AE358,MAX(0,N(Debts!$E$10)))</f>
        <v>0</v>
      </c>
      <c r="AP358" s="56" t="n">
        <f aca="false">MIN(AF358,MAX(0,N(Debts!$E$11)))</f>
        <v>0</v>
      </c>
      <c r="AQ358" s="56" t="n">
        <f aca="false">MIN(AG358,MAX(0,N(Debts!$E$12)))</f>
        <v>0</v>
      </c>
      <c r="AR358" s="56" t="n">
        <f aca="false">MIN(AH358,MAX(0,N(Debts!$E$13)))</f>
        <v>0</v>
      </c>
      <c r="AS358" s="56" t="n">
        <f aca="false">MIN(AI358,MAX(0,N(Debts!$E$14)))</f>
        <v>0</v>
      </c>
    </row>
    <row r="359" customFormat="false" ht="15" hidden="false" customHeight="false" outlineLevel="0" collapsed="false">
      <c r="A359" s="53" t="n">
        <v>355</v>
      </c>
      <c r="B359" s="54" t="n">
        <f aca="false">EDATE('Start Here'!$B$8,354)</f>
        <v>57101</v>
      </c>
      <c r="C359" s="42" t="n">
        <f aca="false">SUM(F359:O359)</f>
        <v>0</v>
      </c>
      <c r="D359" s="42" t="n">
        <f aca="false">ROUND(SUM($Z359:$AI359)-SUM(P358:Y358),2)</f>
        <v>0</v>
      </c>
      <c r="E359" s="55" t="n">
        <f aca="false">SUM(P359:Y359)</f>
        <v>0</v>
      </c>
      <c r="F359" s="42" t="n">
        <f aca="false">AJ359+MIN(Z359-AJ359,MAX(0,'Start Here'!$B$10-SUM($AJ359:$AS359)-SUMPRODUCT(($Z$3:$AI$3&lt;Z$3)*($Z359:$AI359-$AJ359:$AS359))))</f>
        <v>0</v>
      </c>
      <c r="G359" s="42" t="n">
        <f aca="false">AK359+MIN(AA359-AK359,MAX(0,'Start Here'!$B$10-SUM($AJ359:$AS359)-SUMPRODUCT(($Z$3:$AI$3&lt;AA$3)*($Z359:$AI359-$AJ359:$AS359))))</f>
        <v>0</v>
      </c>
      <c r="H359" s="42" t="n">
        <f aca="false">AL359+MIN(AB359-AL359,MAX(0,'Start Here'!$B$10-SUM($AJ359:$AS359)-SUMPRODUCT(($Z$3:$AI$3&lt;AB$3)*($Z359:$AI359-$AJ359:$AS359))))</f>
        <v>0</v>
      </c>
      <c r="I359" s="42" t="n">
        <f aca="false">AM359+MIN(AC359-AM359,MAX(0,'Start Here'!$B$10-SUM($AJ359:$AS359)-SUMPRODUCT(($Z$3:$AI$3&lt;AC$3)*($Z359:$AI359-$AJ359:$AS359))))</f>
        <v>0</v>
      </c>
      <c r="J359" s="42" t="n">
        <f aca="false">AN359+MIN(AD359-AN359,MAX(0,'Start Here'!$B$10-SUM($AJ359:$AS359)-SUMPRODUCT(($Z$3:$AI$3&lt;AD$3)*($Z359:$AI359-$AJ359:$AS359))))</f>
        <v>0</v>
      </c>
      <c r="K359" s="42" t="n">
        <f aca="false">AO359+MIN(AE359-AO359,MAX(0,'Start Here'!$B$10-SUM($AJ359:$AS359)-SUMPRODUCT(($Z$3:$AI$3&lt;AE$3)*($Z359:$AI359-$AJ359:$AS359))))</f>
        <v>0</v>
      </c>
      <c r="L359" s="42" t="n">
        <f aca="false">AP359+MIN(AF359-AP359,MAX(0,'Start Here'!$B$10-SUM($AJ359:$AS359)-SUMPRODUCT(($Z$3:$AI$3&lt;AF$3)*($Z359:$AI359-$AJ359:$AS359))))</f>
        <v>0</v>
      </c>
      <c r="M359" s="42" t="n">
        <f aca="false">AQ359+MIN(AG359-AQ359,MAX(0,'Start Here'!$B$10-SUM($AJ359:$AS359)-SUMPRODUCT(($Z$3:$AI$3&lt;AG$3)*($Z359:$AI359-$AJ359:$AS359))))</f>
        <v>0</v>
      </c>
      <c r="N359" s="42" t="n">
        <f aca="false">AR359+MIN(AH359-AR359,MAX(0,'Start Here'!$B$10-SUM($AJ359:$AS359)-SUMPRODUCT(($Z$3:$AI$3&lt;AH$3)*($Z359:$AI359-$AJ359:$AS359))))</f>
        <v>0</v>
      </c>
      <c r="O359" s="42" t="n">
        <f aca="false">AS359+MIN(AI359-AS359,MAX(0,'Start Here'!$B$10-SUM($AJ359:$AS359)-SUMPRODUCT(($Z$3:$AI$3&lt;AI$3)*($Z359:$AI359-$AJ359:$AS359))))</f>
        <v>0</v>
      </c>
      <c r="P359" s="42" t="n">
        <f aca="false">ROUND(Z359-F359,2)</f>
        <v>0</v>
      </c>
      <c r="Q359" s="42" t="n">
        <f aca="false">ROUND(AA359-G359,2)</f>
        <v>0</v>
      </c>
      <c r="R359" s="42" t="n">
        <f aca="false">ROUND(AB359-H359,2)</f>
        <v>0</v>
      </c>
      <c r="S359" s="42" t="n">
        <f aca="false">ROUND(AC359-I359,2)</f>
        <v>0</v>
      </c>
      <c r="T359" s="42" t="n">
        <f aca="false">ROUND(AD359-J359,2)</f>
        <v>0</v>
      </c>
      <c r="U359" s="42" t="n">
        <f aca="false">ROUND(AE359-K359,2)</f>
        <v>0</v>
      </c>
      <c r="V359" s="42" t="n">
        <f aca="false">ROUND(AF359-L359,2)</f>
        <v>0</v>
      </c>
      <c r="W359" s="42" t="n">
        <f aca="false">ROUND(AG359-M359,2)</f>
        <v>0</v>
      </c>
      <c r="X359" s="42" t="n">
        <f aca="false">ROUND(AH359-N359,2)</f>
        <v>0</v>
      </c>
      <c r="Y359" s="42" t="n">
        <f aca="false">ROUND(AI359-O359,2)</f>
        <v>0</v>
      </c>
      <c r="Z359" s="56" t="n">
        <f aca="false">ROUND(P358*(1+N(Debts!$D$5)/12),2)</f>
        <v>0</v>
      </c>
      <c r="AA359" s="56" t="n">
        <f aca="false">ROUND(Q358*(1+N(Debts!$D$6)/12),2)</f>
        <v>0</v>
      </c>
      <c r="AB359" s="56" t="n">
        <f aca="false">ROUND(R358*(1+N(Debts!$D$7)/12),2)</f>
        <v>0</v>
      </c>
      <c r="AC359" s="56" t="n">
        <f aca="false">ROUND(S358*(1+N(Debts!$D$8)/12),2)</f>
        <v>0</v>
      </c>
      <c r="AD359" s="56" t="n">
        <f aca="false">ROUND(T358*(1+N(Debts!$D$9)/12),2)</f>
        <v>0</v>
      </c>
      <c r="AE359" s="56" t="n">
        <f aca="false">ROUND(U358*(1+N(Debts!$D$10)/12),2)</f>
        <v>0</v>
      </c>
      <c r="AF359" s="56" t="n">
        <f aca="false">ROUND(V358*(1+N(Debts!$D$11)/12),2)</f>
        <v>0</v>
      </c>
      <c r="AG359" s="56" t="n">
        <f aca="false">ROUND(W358*(1+N(Debts!$D$12)/12),2)</f>
        <v>0</v>
      </c>
      <c r="AH359" s="56" t="n">
        <f aca="false">ROUND(X358*(1+N(Debts!$D$13)/12),2)</f>
        <v>0</v>
      </c>
      <c r="AI359" s="56" t="n">
        <f aca="false">ROUND(Y358*(1+N(Debts!$D$14)/12),2)</f>
        <v>0</v>
      </c>
      <c r="AJ359" s="56" t="n">
        <f aca="false">MIN(Z359,MAX(0,N(Debts!$E$5)))</f>
        <v>0</v>
      </c>
      <c r="AK359" s="56" t="n">
        <f aca="false">MIN(AA359,MAX(0,N(Debts!$E$6)))</f>
        <v>0</v>
      </c>
      <c r="AL359" s="56" t="n">
        <f aca="false">MIN(AB359,MAX(0,N(Debts!$E$7)))</f>
        <v>0</v>
      </c>
      <c r="AM359" s="56" t="n">
        <f aca="false">MIN(AC359,MAX(0,N(Debts!$E$8)))</f>
        <v>0</v>
      </c>
      <c r="AN359" s="56" t="n">
        <f aca="false">MIN(AD359,MAX(0,N(Debts!$E$9)))</f>
        <v>0</v>
      </c>
      <c r="AO359" s="56" t="n">
        <f aca="false">MIN(AE359,MAX(0,N(Debts!$E$10)))</f>
        <v>0</v>
      </c>
      <c r="AP359" s="56" t="n">
        <f aca="false">MIN(AF359,MAX(0,N(Debts!$E$11)))</f>
        <v>0</v>
      </c>
      <c r="AQ359" s="56" t="n">
        <f aca="false">MIN(AG359,MAX(0,N(Debts!$E$12)))</f>
        <v>0</v>
      </c>
      <c r="AR359" s="56" t="n">
        <f aca="false">MIN(AH359,MAX(0,N(Debts!$E$13)))</f>
        <v>0</v>
      </c>
      <c r="AS359" s="56" t="n">
        <f aca="false">MIN(AI359,MAX(0,N(Debts!$E$14)))</f>
        <v>0</v>
      </c>
    </row>
    <row r="360" customFormat="false" ht="15" hidden="false" customHeight="false" outlineLevel="0" collapsed="false">
      <c r="A360" s="53" t="n">
        <v>356</v>
      </c>
      <c r="B360" s="54" t="n">
        <f aca="false">EDATE('Start Here'!$B$8,355)</f>
        <v>57132</v>
      </c>
      <c r="C360" s="42" t="n">
        <f aca="false">SUM(F360:O360)</f>
        <v>0</v>
      </c>
      <c r="D360" s="42" t="n">
        <f aca="false">ROUND(SUM($Z360:$AI360)-SUM(P359:Y359),2)</f>
        <v>0</v>
      </c>
      <c r="E360" s="55" t="n">
        <f aca="false">SUM(P360:Y360)</f>
        <v>0</v>
      </c>
      <c r="F360" s="42" t="n">
        <f aca="false">AJ360+MIN(Z360-AJ360,MAX(0,'Start Here'!$B$10-SUM($AJ360:$AS360)-SUMPRODUCT(($Z$3:$AI$3&lt;Z$3)*($Z360:$AI360-$AJ360:$AS360))))</f>
        <v>0</v>
      </c>
      <c r="G360" s="42" t="n">
        <f aca="false">AK360+MIN(AA360-AK360,MAX(0,'Start Here'!$B$10-SUM($AJ360:$AS360)-SUMPRODUCT(($Z$3:$AI$3&lt;AA$3)*($Z360:$AI360-$AJ360:$AS360))))</f>
        <v>0</v>
      </c>
      <c r="H360" s="42" t="n">
        <f aca="false">AL360+MIN(AB360-AL360,MAX(0,'Start Here'!$B$10-SUM($AJ360:$AS360)-SUMPRODUCT(($Z$3:$AI$3&lt;AB$3)*($Z360:$AI360-$AJ360:$AS360))))</f>
        <v>0</v>
      </c>
      <c r="I360" s="42" t="n">
        <f aca="false">AM360+MIN(AC360-AM360,MAX(0,'Start Here'!$B$10-SUM($AJ360:$AS360)-SUMPRODUCT(($Z$3:$AI$3&lt;AC$3)*($Z360:$AI360-$AJ360:$AS360))))</f>
        <v>0</v>
      </c>
      <c r="J360" s="42" t="n">
        <f aca="false">AN360+MIN(AD360-AN360,MAX(0,'Start Here'!$B$10-SUM($AJ360:$AS360)-SUMPRODUCT(($Z$3:$AI$3&lt;AD$3)*($Z360:$AI360-$AJ360:$AS360))))</f>
        <v>0</v>
      </c>
      <c r="K360" s="42" t="n">
        <f aca="false">AO360+MIN(AE360-AO360,MAX(0,'Start Here'!$B$10-SUM($AJ360:$AS360)-SUMPRODUCT(($Z$3:$AI$3&lt;AE$3)*($Z360:$AI360-$AJ360:$AS360))))</f>
        <v>0</v>
      </c>
      <c r="L360" s="42" t="n">
        <f aca="false">AP360+MIN(AF360-AP360,MAX(0,'Start Here'!$B$10-SUM($AJ360:$AS360)-SUMPRODUCT(($Z$3:$AI$3&lt;AF$3)*($Z360:$AI360-$AJ360:$AS360))))</f>
        <v>0</v>
      </c>
      <c r="M360" s="42" t="n">
        <f aca="false">AQ360+MIN(AG360-AQ360,MAX(0,'Start Here'!$B$10-SUM($AJ360:$AS360)-SUMPRODUCT(($Z$3:$AI$3&lt;AG$3)*($Z360:$AI360-$AJ360:$AS360))))</f>
        <v>0</v>
      </c>
      <c r="N360" s="42" t="n">
        <f aca="false">AR360+MIN(AH360-AR360,MAX(0,'Start Here'!$B$10-SUM($AJ360:$AS360)-SUMPRODUCT(($Z$3:$AI$3&lt;AH$3)*($Z360:$AI360-$AJ360:$AS360))))</f>
        <v>0</v>
      </c>
      <c r="O360" s="42" t="n">
        <f aca="false">AS360+MIN(AI360-AS360,MAX(0,'Start Here'!$B$10-SUM($AJ360:$AS360)-SUMPRODUCT(($Z$3:$AI$3&lt;AI$3)*($Z360:$AI360-$AJ360:$AS360))))</f>
        <v>0</v>
      </c>
      <c r="P360" s="42" t="n">
        <f aca="false">ROUND(Z360-F360,2)</f>
        <v>0</v>
      </c>
      <c r="Q360" s="42" t="n">
        <f aca="false">ROUND(AA360-G360,2)</f>
        <v>0</v>
      </c>
      <c r="R360" s="42" t="n">
        <f aca="false">ROUND(AB360-H360,2)</f>
        <v>0</v>
      </c>
      <c r="S360" s="42" t="n">
        <f aca="false">ROUND(AC360-I360,2)</f>
        <v>0</v>
      </c>
      <c r="T360" s="42" t="n">
        <f aca="false">ROUND(AD360-J360,2)</f>
        <v>0</v>
      </c>
      <c r="U360" s="42" t="n">
        <f aca="false">ROUND(AE360-K360,2)</f>
        <v>0</v>
      </c>
      <c r="V360" s="42" t="n">
        <f aca="false">ROUND(AF360-L360,2)</f>
        <v>0</v>
      </c>
      <c r="W360" s="42" t="n">
        <f aca="false">ROUND(AG360-M360,2)</f>
        <v>0</v>
      </c>
      <c r="X360" s="42" t="n">
        <f aca="false">ROUND(AH360-N360,2)</f>
        <v>0</v>
      </c>
      <c r="Y360" s="42" t="n">
        <f aca="false">ROUND(AI360-O360,2)</f>
        <v>0</v>
      </c>
      <c r="Z360" s="56" t="n">
        <f aca="false">ROUND(P359*(1+N(Debts!$D$5)/12),2)</f>
        <v>0</v>
      </c>
      <c r="AA360" s="56" t="n">
        <f aca="false">ROUND(Q359*(1+N(Debts!$D$6)/12),2)</f>
        <v>0</v>
      </c>
      <c r="AB360" s="56" t="n">
        <f aca="false">ROUND(R359*(1+N(Debts!$D$7)/12),2)</f>
        <v>0</v>
      </c>
      <c r="AC360" s="56" t="n">
        <f aca="false">ROUND(S359*(1+N(Debts!$D$8)/12),2)</f>
        <v>0</v>
      </c>
      <c r="AD360" s="56" t="n">
        <f aca="false">ROUND(T359*(1+N(Debts!$D$9)/12),2)</f>
        <v>0</v>
      </c>
      <c r="AE360" s="56" t="n">
        <f aca="false">ROUND(U359*(1+N(Debts!$D$10)/12),2)</f>
        <v>0</v>
      </c>
      <c r="AF360" s="56" t="n">
        <f aca="false">ROUND(V359*(1+N(Debts!$D$11)/12),2)</f>
        <v>0</v>
      </c>
      <c r="AG360" s="56" t="n">
        <f aca="false">ROUND(W359*(1+N(Debts!$D$12)/12),2)</f>
        <v>0</v>
      </c>
      <c r="AH360" s="56" t="n">
        <f aca="false">ROUND(X359*(1+N(Debts!$D$13)/12),2)</f>
        <v>0</v>
      </c>
      <c r="AI360" s="56" t="n">
        <f aca="false">ROUND(Y359*(1+N(Debts!$D$14)/12),2)</f>
        <v>0</v>
      </c>
      <c r="AJ360" s="56" t="n">
        <f aca="false">MIN(Z360,MAX(0,N(Debts!$E$5)))</f>
        <v>0</v>
      </c>
      <c r="AK360" s="56" t="n">
        <f aca="false">MIN(AA360,MAX(0,N(Debts!$E$6)))</f>
        <v>0</v>
      </c>
      <c r="AL360" s="56" t="n">
        <f aca="false">MIN(AB360,MAX(0,N(Debts!$E$7)))</f>
        <v>0</v>
      </c>
      <c r="AM360" s="56" t="n">
        <f aca="false">MIN(AC360,MAX(0,N(Debts!$E$8)))</f>
        <v>0</v>
      </c>
      <c r="AN360" s="56" t="n">
        <f aca="false">MIN(AD360,MAX(0,N(Debts!$E$9)))</f>
        <v>0</v>
      </c>
      <c r="AO360" s="56" t="n">
        <f aca="false">MIN(AE360,MAX(0,N(Debts!$E$10)))</f>
        <v>0</v>
      </c>
      <c r="AP360" s="56" t="n">
        <f aca="false">MIN(AF360,MAX(0,N(Debts!$E$11)))</f>
        <v>0</v>
      </c>
      <c r="AQ360" s="56" t="n">
        <f aca="false">MIN(AG360,MAX(0,N(Debts!$E$12)))</f>
        <v>0</v>
      </c>
      <c r="AR360" s="56" t="n">
        <f aca="false">MIN(AH360,MAX(0,N(Debts!$E$13)))</f>
        <v>0</v>
      </c>
      <c r="AS360" s="56" t="n">
        <f aca="false">MIN(AI360,MAX(0,N(Debts!$E$14)))</f>
        <v>0</v>
      </c>
    </row>
    <row r="361" customFormat="false" ht="15" hidden="false" customHeight="false" outlineLevel="0" collapsed="false">
      <c r="A361" s="53" t="n">
        <v>357</v>
      </c>
      <c r="B361" s="54" t="n">
        <f aca="false">EDATE('Start Here'!$B$8,356)</f>
        <v>57162</v>
      </c>
      <c r="C361" s="42" t="n">
        <f aca="false">SUM(F361:O361)</f>
        <v>0</v>
      </c>
      <c r="D361" s="42" t="n">
        <f aca="false">ROUND(SUM($Z361:$AI361)-SUM(P360:Y360),2)</f>
        <v>0</v>
      </c>
      <c r="E361" s="55" t="n">
        <f aca="false">SUM(P361:Y361)</f>
        <v>0</v>
      </c>
      <c r="F361" s="42" t="n">
        <f aca="false">AJ361+MIN(Z361-AJ361,MAX(0,'Start Here'!$B$10-SUM($AJ361:$AS361)-SUMPRODUCT(($Z$3:$AI$3&lt;Z$3)*($Z361:$AI361-$AJ361:$AS361))))</f>
        <v>0</v>
      </c>
      <c r="G361" s="42" t="n">
        <f aca="false">AK361+MIN(AA361-AK361,MAX(0,'Start Here'!$B$10-SUM($AJ361:$AS361)-SUMPRODUCT(($Z$3:$AI$3&lt;AA$3)*($Z361:$AI361-$AJ361:$AS361))))</f>
        <v>0</v>
      </c>
      <c r="H361" s="42" t="n">
        <f aca="false">AL361+MIN(AB361-AL361,MAX(0,'Start Here'!$B$10-SUM($AJ361:$AS361)-SUMPRODUCT(($Z$3:$AI$3&lt;AB$3)*($Z361:$AI361-$AJ361:$AS361))))</f>
        <v>0</v>
      </c>
      <c r="I361" s="42" t="n">
        <f aca="false">AM361+MIN(AC361-AM361,MAX(0,'Start Here'!$B$10-SUM($AJ361:$AS361)-SUMPRODUCT(($Z$3:$AI$3&lt;AC$3)*($Z361:$AI361-$AJ361:$AS361))))</f>
        <v>0</v>
      </c>
      <c r="J361" s="42" t="n">
        <f aca="false">AN361+MIN(AD361-AN361,MAX(0,'Start Here'!$B$10-SUM($AJ361:$AS361)-SUMPRODUCT(($Z$3:$AI$3&lt;AD$3)*($Z361:$AI361-$AJ361:$AS361))))</f>
        <v>0</v>
      </c>
      <c r="K361" s="42" t="n">
        <f aca="false">AO361+MIN(AE361-AO361,MAX(0,'Start Here'!$B$10-SUM($AJ361:$AS361)-SUMPRODUCT(($Z$3:$AI$3&lt;AE$3)*($Z361:$AI361-$AJ361:$AS361))))</f>
        <v>0</v>
      </c>
      <c r="L361" s="42" t="n">
        <f aca="false">AP361+MIN(AF361-AP361,MAX(0,'Start Here'!$B$10-SUM($AJ361:$AS361)-SUMPRODUCT(($Z$3:$AI$3&lt;AF$3)*($Z361:$AI361-$AJ361:$AS361))))</f>
        <v>0</v>
      </c>
      <c r="M361" s="42" t="n">
        <f aca="false">AQ361+MIN(AG361-AQ361,MAX(0,'Start Here'!$B$10-SUM($AJ361:$AS361)-SUMPRODUCT(($Z$3:$AI$3&lt;AG$3)*($Z361:$AI361-$AJ361:$AS361))))</f>
        <v>0</v>
      </c>
      <c r="N361" s="42" t="n">
        <f aca="false">AR361+MIN(AH361-AR361,MAX(0,'Start Here'!$B$10-SUM($AJ361:$AS361)-SUMPRODUCT(($Z$3:$AI$3&lt;AH$3)*($Z361:$AI361-$AJ361:$AS361))))</f>
        <v>0</v>
      </c>
      <c r="O361" s="42" t="n">
        <f aca="false">AS361+MIN(AI361-AS361,MAX(0,'Start Here'!$B$10-SUM($AJ361:$AS361)-SUMPRODUCT(($Z$3:$AI$3&lt;AI$3)*($Z361:$AI361-$AJ361:$AS361))))</f>
        <v>0</v>
      </c>
      <c r="P361" s="42" t="n">
        <f aca="false">ROUND(Z361-F361,2)</f>
        <v>0</v>
      </c>
      <c r="Q361" s="42" t="n">
        <f aca="false">ROUND(AA361-G361,2)</f>
        <v>0</v>
      </c>
      <c r="R361" s="42" t="n">
        <f aca="false">ROUND(AB361-H361,2)</f>
        <v>0</v>
      </c>
      <c r="S361" s="42" t="n">
        <f aca="false">ROUND(AC361-I361,2)</f>
        <v>0</v>
      </c>
      <c r="T361" s="42" t="n">
        <f aca="false">ROUND(AD361-J361,2)</f>
        <v>0</v>
      </c>
      <c r="U361" s="42" t="n">
        <f aca="false">ROUND(AE361-K361,2)</f>
        <v>0</v>
      </c>
      <c r="V361" s="42" t="n">
        <f aca="false">ROUND(AF361-L361,2)</f>
        <v>0</v>
      </c>
      <c r="W361" s="42" t="n">
        <f aca="false">ROUND(AG361-M361,2)</f>
        <v>0</v>
      </c>
      <c r="X361" s="42" t="n">
        <f aca="false">ROUND(AH361-N361,2)</f>
        <v>0</v>
      </c>
      <c r="Y361" s="42" t="n">
        <f aca="false">ROUND(AI361-O361,2)</f>
        <v>0</v>
      </c>
      <c r="Z361" s="56" t="n">
        <f aca="false">ROUND(P360*(1+N(Debts!$D$5)/12),2)</f>
        <v>0</v>
      </c>
      <c r="AA361" s="56" t="n">
        <f aca="false">ROUND(Q360*(1+N(Debts!$D$6)/12),2)</f>
        <v>0</v>
      </c>
      <c r="AB361" s="56" t="n">
        <f aca="false">ROUND(R360*(1+N(Debts!$D$7)/12),2)</f>
        <v>0</v>
      </c>
      <c r="AC361" s="56" t="n">
        <f aca="false">ROUND(S360*(1+N(Debts!$D$8)/12),2)</f>
        <v>0</v>
      </c>
      <c r="AD361" s="56" t="n">
        <f aca="false">ROUND(T360*(1+N(Debts!$D$9)/12),2)</f>
        <v>0</v>
      </c>
      <c r="AE361" s="56" t="n">
        <f aca="false">ROUND(U360*(1+N(Debts!$D$10)/12),2)</f>
        <v>0</v>
      </c>
      <c r="AF361" s="56" t="n">
        <f aca="false">ROUND(V360*(1+N(Debts!$D$11)/12),2)</f>
        <v>0</v>
      </c>
      <c r="AG361" s="56" t="n">
        <f aca="false">ROUND(W360*(1+N(Debts!$D$12)/12),2)</f>
        <v>0</v>
      </c>
      <c r="AH361" s="56" t="n">
        <f aca="false">ROUND(X360*(1+N(Debts!$D$13)/12),2)</f>
        <v>0</v>
      </c>
      <c r="AI361" s="56" t="n">
        <f aca="false">ROUND(Y360*(1+N(Debts!$D$14)/12),2)</f>
        <v>0</v>
      </c>
      <c r="AJ361" s="56" t="n">
        <f aca="false">MIN(Z361,MAX(0,N(Debts!$E$5)))</f>
        <v>0</v>
      </c>
      <c r="AK361" s="56" t="n">
        <f aca="false">MIN(AA361,MAX(0,N(Debts!$E$6)))</f>
        <v>0</v>
      </c>
      <c r="AL361" s="56" t="n">
        <f aca="false">MIN(AB361,MAX(0,N(Debts!$E$7)))</f>
        <v>0</v>
      </c>
      <c r="AM361" s="56" t="n">
        <f aca="false">MIN(AC361,MAX(0,N(Debts!$E$8)))</f>
        <v>0</v>
      </c>
      <c r="AN361" s="56" t="n">
        <f aca="false">MIN(AD361,MAX(0,N(Debts!$E$9)))</f>
        <v>0</v>
      </c>
      <c r="AO361" s="56" t="n">
        <f aca="false">MIN(AE361,MAX(0,N(Debts!$E$10)))</f>
        <v>0</v>
      </c>
      <c r="AP361" s="56" t="n">
        <f aca="false">MIN(AF361,MAX(0,N(Debts!$E$11)))</f>
        <v>0</v>
      </c>
      <c r="AQ361" s="56" t="n">
        <f aca="false">MIN(AG361,MAX(0,N(Debts!$E$12)))</f>
        <v>0</v>
      </c>
      <c r="AR361" s="56" t="n">
        <f aca="false">MIN(AH361,MAX(0,N(Debts!$E$13)))</f>
        <v>0</v>
      </c>
      <c r="AS361" s="56" t="n">
        <f aca="false">MIN(AI361,MAX(0,N(Debts!$E$14)))</f>
        <v>0</v>
      </c>
    </row>
    <row r="362" customFormat="false" ht="15" hidden="false" customHeight="false" outlineLevel="0" collapsed="false">
      <c r="A362" s="53" t="n">
        <v>358</v>
      </c>
      <c r="B362" s="54" t="n">
        <f aca="false">EDATE('Start Here'!$B$8,357)</f>
        <v>57193</v>
      </c>
      <c r="C362" s="42" t="n">
        <f aca="false">SUM(F362:O362)</f>
        <v>0</v>
      </c>
      <c r="D362" s="42" t="n">
        <f aca="false">ROUND(SUM($Z362:$AI362)-SUM(P361:Y361),2)</f>
        <v>0</v>
      </c>
      <c r="E362" s="55" t="n">
        <f aca="false">SUM(P362:Y362)</f>
        <v>0</v>
      </c>
      <c r="F362" s="42" t="n">
        <f aca="false">AJ362+MIN(Z362-AJ362,MAX(0,'Start Here'!$B$10-SUM($AJ362:$AS362)-SUMPRODUCT(($Z$3:$AI$3&lt;Z$3)*($Z362:$AI362-$AJ362:$AS362))))</f>
        <v>0</v>
      </c>
      <c r="G362" s="42" t="n">
        <f aca="false">AK362+MIN(AA362-AK362,MAX(0,'Start Here'!$B$10-SUM($AJ362:$AS362)-SUMPRODUCT(($Z$3:$AI$3&lt;AA$3)*($Z362:$AI362-$AJ362:$AS362))))</f>
        <v>0</v>
      </c>
      <c r="H362" s="42" t="n">
        <f aca="false">AL362+MIN(AB362-AL362,MAX(0,'Start Here'!$B$10-SUM($AJ362:$AS362)-SUMPRODUCT(($Z$3:$AI$3&lt;AB$3)*($Z362:$AI362-$AJ362:$AS362))))</f>
        <v>0</v>
      </c>
      <c r="I362" s="42" t="n">
        <f aca="false">AM362+MIN(AC362-AM362,MAX(0,'Start Here'!$B$10-SUM($AJ362:$AS362)-SUMPRODUCT(($Z$3:$AI$3&lt;AC$3)*($Z362:$AI362-$AJ362:$AS362))))</f>
        <v>0</v>
      </c>
      <c r="J362" s="42" t="n">
        <f aca="false">AN362+MIN(AD362-AN362,MAX(0,'Start Here'!$B$10-SUM($AJ362:$AS362)-SUMPRODUCT(($Z$3:$AI$3&lt;AD$3)*($Z362:$AI362-$AJ362:$AS362))))</f>
        <v>0</v>
      </c>
      <c r="K362" s="42" t="n">
        <f aca="false">AO362+MIN(AE362-AO362,MAX(0,'Start Here'!$B$10-SUM($AJ362:$AS362)-SUMPRODUCT(($Z$3:$AI$3&lt;AE$3)*($Z362:$AI362-$AJ362:$AS362))))</f>
        <v>0</v>
      </c>
      <c r="L362" s="42" t="n">
        <f aca="false">AP362+MIN(AF362-AP362,MAX(0,'Start Here'!$B$10-SUM($AJ362:$AS362)-SUMPRODUCT(($Z$3:$AI$3&lt;AF$3)*($Z362:$AI362-$AJ362:$AS362))))</f>
        <v>0</v>
      </c>
      <c r="M362" s="42" t="n">
        <f aca="false">AQ362+MIN(AG362-AQ362,MAX(0,'Start Here'!$B$10-SUM($AJ362:$AS362)-SUMPRODUCT(($Z$3:$AI$3&lt;AG$3)*($Z362:$AI362-$AJ362:$AS362))))</f>
        <v>0</v>
      </c>
      <c r="N362" s="42" t="n">
        <f aca="false">AR362+MIN(AH362-AR362,MAX(0,'Start Here'!$B$10-SUM($AJ362:$AS362)-SUMPRODUCT(($Z$3:$AI$3&lt;AH$3)*($Z362:$AI362-$AJ362:$AS362))))</f>
        <v>0</v>
      </c>
      <c r="O362" s="42" t="n">
        <f aca="false">AS362+MIN(AI362-AS362,MAX(0,'Start Here'!$B$10-SUM($AJ362:$AS362)-SUMPRODUCT(($Z$3:$AI$3&lt;AI$3)*($Z362:$AI362-$AJ362:$AS362))))</f>
        <v>0</v>
      </c>
      <c r="P362" s="42" t="n">
        <f aca="false">ROUND(Z362-F362,2)</f>
        <v>0</v>
      </c>
      <c r="Q362" s="42" t="n">
        <f aca="false">ROUND(AA362-G362,2)</f>
        <v>0</v>
      </c>
      <c r="R362" s="42" t="n">
        <f aca="false">ROUND(AB362-H362,2)</f>
        <v>0</v>
      </c>
      <c r="S362" s="42" t="n">
        <f aca="false">ROUND(AC362-I362,2)</f>
        <v>0</v>
      </c>
      <c r="T362" s="42" t="n">
        <f aca="false">ROUND(AD362-J362,2)</f>
        <v>0</v>
      </c>
      <c r="U362" s="42" t="n">
        <f aca="false">ROUND(AE362-K362,2)</f>
        <v>0</v>
      </c>
      <c r="V362" s="42" t="n">
        <f aca="false">ROUND(AF362-L362,2)</f>
        <v>0</v>
      </c>
      <c r="W362" s="42" t="n">
        <f aca="false">ROUND(AG362-M362,2)</f>
        <v>0</v>
      </c>
      <c r="X362" s="42" t="n">
        <f aca="false">ROUND(AH362-N362,2)</f>
        <v>0</v>
      </c>
      <c r="Y362" s="42" t="n">
        <f aca="false">ROUND(AI362-O362,2)</f>
        <v>0</v>
      </c>
      <c r="Z362" s="56" t="n">
        <f aca="false">ROUND(P361*(1+N(Debts!$D$5)/12),2)</f>
        <v>0</v>
      </c>
      <c r="AA362" s="56" t="n">
        <f aca="false">ROUND(Q361*(1+N(Debts!$D$6)/12),2)</f>
        <v>0</v>
      </c>
      <c r="AB362" s="56" t="n">
        <f aca="false">ROUND(R361*(1+N(Debts!$D$7)/12),2)</f>
        <v>0</v>
      </c>
      <c r="AC362" s="56" t="n">
        <f aca="false">ROUND(S361*(1+N(Debts!$D$8)/12),2)</f>
        <v>0</v>
      </c>
      <c r="AD362" s="56" t="n">
        <f aca="false">ROUND(T361*(1+N(Debts!$D$9)/12),2)</f>
        <v>0</v>
      </c>
      <c r="AE362" s="56" t="n">
        <f aca="false">ROUND(U361*(1+N(Debts!$D$10)/12),2)</f>
        <v>0</v>
      </c>
      <c r="AF362" s="56" t="n">
        <f aca="false">ROUND(V361*(1+N(Debts!$D$11)/12),2)</f>
        <v>0</v>
      </c>
      <c r="AG362" s="56" t="n">
        <f aca="false">ROUND(W361*(1+N(Debts!$D$12)/12),2)</f>
        <v>0</v>
      </c>
      <c r="AH362" s="56" t="n">
        <f aca="false">ROUND(X361*(1+N(Debts!$D$13)/12),2)</f>
        <v>0</v>
      </c>
      <c r="AI362" s="56" t="n">
        <f aca="false">ROUND(Y361*(1+N(Debts!$D$14)/12),2)</f>
        <v>0</v>
      </c>
      <c r="AJ362" s="56" t="n">
        <f aca="false">MIN(Z362,MAX(0,N(Debts!$E$5)))</f>
        <v>0</v>
      </c>
      <c r="AK362" s="56" t="n">
        <f aca="false">MIN(AA362,MAX(0,N(Debts!$E$6)))</f>
        <v>0</v>
      </c>
      <c r="AL362" s="56" t="n">
        <f aca="false">MIN(AB362,MAX(0,N(Debts!$E$7)))</f>
        <v>0</v>
      </c>
      <c r="AM362" s="56" t="n">
        <f aca="false">MIN(AC362,MAX(0,N(Debts!$E$8)))</f>
        <v>0</v>
      </c>
      <c r="AN362" s="56" t="n">
        <f aca="false">MIN(AD362,MAX(0,N(Debts!$E$9)))</f>
        <v>0</v>
      </c>
      <c r="AO362" s="56" t="n">
        <f aca="false">MIN(AE362,MAX(0,N(Debts!$E$10)))</f>
        <v>0</v>
      </c>
      <c r="AP362" s="56" t="n">
        <f aca="false">MIN(AF362,MAX(0,N(Debts!$E$11)))</f>
        <v>0</v>
      </c>
      <c r="AQ362" s="56" t="n">
        <f aca="false">MIN(AG362,MAX(0,N(Debts!$E$12)))</f>
        <v>0</v>
      </c>
      <c r="AR362" s="56" t="n">
        <f aca="false">MIN(AH362,MAX(0,N(Debts!$E$13)))</f>
        <v>0</v>
      </c>
      <c r="AS362" s="56" t="n">
        <f aca="false">MIN(AI362,MAX(0,N(Debts!$E$14)))</f>
        <v>0</v>
      </c>
    </row>
    <row r="363" customFormat="false" ht="15" hidden="false" customHeight="false" outlineLevel="0" collapsed="false">
      <c r="A363" s="53" t="n">
        <v>359</v>
      </c>
      <c r="B363" s="54" t="n">
        <f aca="false">EDATE('Start Here'!$B$8,358)</f>
        <v>57224</v>
      </c>
      <c r="C363" s="42" t="n">
        <f aca="false">SUM(F363:O363)</f>
        <v>0</v>
      </c>
      <c r="D363" s="42" t="n">
        <f aca="false">ROUND(SUM($Z363:$AI363)-SUM(P362:Y362),2)</f>
        <v>0</v>
      </c>
      <c r="E363" s="55" t="n">
        <f aca="false">SUM(P363:Y363)</f>
        <v>0</v>
      </c>
      <c r="F363" s="42" t="n">
        <f aca="false">AJ363+MIN(Z363-AJ363,MAX(0,'Start Here'!$B$10-SUM($AJ363:$AS363)-SUMPRODUCT(($Z$3:$AI$3&lt;Z$3)*($Z363:$AI363-$AJ363:$AS363))))</f>
        <v>0</v>
      </c>
      <c r="G363" s="42" t="n">
        <f aca="false">AK363+MIN(AA363-AK363,MAX(0,'Start Here'!$B$10-SUM($AJ363:$AS363)-SUMPRODUCT(($Z$3:$AI$3&lt;AA$3)*($Z363:$AI363-$AJ363:$AS363))))</f>
        <v>0</v>
      </c>
      <c r="H363" s="42" t="n">
        <f aca="false">AL363+MIN(AB363-AL363,MAX(0,'Start Here'!$B$10-SUM($AJ363:$AS363)-SUMPRODUCT(($Z$3:$AI$3&lt;AB$3)*($Z363:$AI363-$AJ363:$AS363))))</f>
        <v>0</v>
      </c>
      <c r="I363" s="42" t="n">
        <f aca="false">AM363+MIN(AC363-AM363,MAX(0,'Start Here'!$B$10-SUM($AJ363:$AS363)-SUMPRODUCT(($Z$3:$AI$3&lt;AC$3)*($Z363:$AI363-$AJ363:$AS363))))</f>
        <v>0</v>
      </c>
      <c r="J363" s="42" t="n">
        <f aca="false">AN363+MIN(AD363-AN363,MAX(0,'Start Here'!$B$10-SUM($AJ363:$AS363)-SUMPRODUCT(($Z$3:$AI$3&lt;AD$3)*($Z363:$AI363-$AJ363:$AS363))))</f>
        <v>0</v>
      </c>
      <c r="K363" s="42" t="n">
        <f aca="false">AO363+MIN(AE363-AO363,MAX(0,'Start Here'!$B$10-SUM($AJ363:$AS363)-SUMPRODUCT(($Z$3:$AI$3&lt;AE$3)*($Z363:$AI363-$AJ363:$AS363))))</f>
        <v>0</v>
      </c>
      <c r="L363" s="42" t="n">
        <f aca="false">AP363+MIN(AF363-AP363,MAX(0,'Start Here'!$B$10-SUM($AJ363:$AS363)-SUMPRODUCT(($Z$3:$AI$3&lt;AF$3)*($Z363:$AI363-$AJ363:$AS363))))</f>
        <v>0</v>
      </c>
      <c r="M363" s="42" t="n">
        <f aca="false">AQ363+MIN(AG363-AQ363,MAX(0,'Start Here'!$B$10-SUM($AJ363:$AS363)-SUMPRODUCT(($Z$3:$AI$3&lt;AG$3)*($Z363:$AI363-$AJ363:$AS363))))</f>
        <v>0</v>
      </c>
      <c r="N363" s="42" t="n">
        <f aca="false">AR363+MIN(AH363-AR363,MAX(0,'Start Here'!$B$10-SUM($AJ363:$AS363)-SUMPRODUCT(($Z$3:$AI$3&lt;AH$3)*($Z363:$AI363-$AJ363:$AS363))))</f>
        <v>0</v>
      </c>
      <c r="O363" s="42" t="n">
        <f aca="false">AS363+MIN(AI363-AS363,MAX(0,'Start Here'!$B$10-SUM($AJ363:$AS363)-SUMPRODUCT(($Z$3:$AI$3&lt;AI$3)*($Z363:$AI363-$AJ363:$AS363))))</f>
        <v>0</v>
      </c>
      <c r="P363" s="42" t="n">
        <f aca="false">ROUND(Z363-F363,2)</f>
        <v>0</v>
      </c>
      <c r="Q363" s="42" t="n">
        <f aca="false">ROUND(AA363-G363,2)</f>
        <v>0</v>
      </c>
      <c r="R363" s="42" t="n">
        <f aca="false">ROUND(AB363-H363,2)</f>
        <v>0</v>
      </c>
      <c r="S363" s="42" t="n">
        <f aca="false">ROUND(AC363-I363,2)</f>
        <v>0</v>
      </c>
      <c r="T363" s="42" t="n">
        <f aca="false">ROUND(AD363-J363,2)</f>
        <v>0</v>
      </c>
      <c r="U363" s="42" t="n">
        <f aca="false">ROUND(AE363-K363,2)</f>
        <v>0</v>
      </c>
      <c r="V363" s="42" t="n">
        <f aca="false">ROUND(AF363-L363,2)</f>
        <v>0</v>
      </c>
      <c r="W363" s="42" t="n">
        <f aca="false">ROUND(AG363-M363,2)</f>
        <v>0</v>
      </c>
      <c r="X363" s="42" t="n">
        <f aca="false">ROUND(AH363-N363,2)</f>
        <v>0</v>
      </c>
      <c r="Y363" s="42" t="n">
        <f aca="false">ROUND(AI363-O363,2)</f>
        <v>0</v>
      </c>
      <c r="Z363" s="56" t="n">
        <f aca="false">ROUND(P362*(1+N(Debts!$D$5)/12),2)</f>
        <v>0</v>
      </c>
      <c r="AA363" s="56" t="n">
        <f aca="false">ROUND(Q362*(1+N(Debts!$D$6)/12),2)</f>
        <v>0</v>
      </c>
      <c r="AB363" s="56" t="n">
        <f aca="false">ROUND(R362*(1+N(Debts!$D$7)/12),2)</f>
        <v>0</v>
      </c>
      <c r="AC363" s="56" t="n">
        <f aca="false">ROUND(S362*(1+N(Debts!$D$8)/12),2)</f>
        <v>0</v>
      </c>
      <c r="AD363" s="56" t="n">
        <f aca="false">ROUND(T362*(1+N(Debts!$D$9)/12),2)</f>
        <v>0</v>
      </c>
      <c r="AE363" s="56" t="n">
        <f aca="false">ROUND(U362*(1+N(Debts!$D$10)/12),2)</f>
        <v>0</v>
      </c>
      <c r="AF363" s="56" t="n">
        <f aca="false">ROUND(V362*(1+N(Debts!$D$11)/12),2)</f>
        <v>0</v>
      </c>
      <c r="AG363" s="56" t="n">
        <f aca="false">ROUND(W362*(1+N(Debts!$D$12)/12),2)</f>
        <v>0</v>
      </c>
      <c r="AH363" s="56" t="n">
        <f aca="false">ROUND(X362*(1+N(Debts!$D$13)/12),2)</f>
        <v>0</v>
      </c>
      <c r="AI363" s="56" t="n">
        <f aca="false">ROUND(Y362*(1+N(Debts!$D$14)/12),2)</f>
        <v>0</v>
      </c>
      <c r="AJ363" s="56" t="n">
        <f aca="false">MIN(Z363,MAX(0,N(Debts!$E$5)))</f>
        <v>0</v>
      </c>
      <c r="AK363" s="56" t="n">
        <f aca="false">MIN(AA363,MAX(0,N(Debts!$E$6)))</f>
        <v>0</v>
      </c>
      <c r="AL363" s="56" t="n">
        <f aca="false">MIN(AB363,MAX(0,N(Debts!$E$7)))</f>
        <v>0</v>
      </c>
      <c r="AM363" s="56" t="n">
        <f aca="false">MIN(AC363,MAX(0,N(Debts!$E$8)))</f>
        <v>0</v>
      </c>
      <c r="AN363" s="56" t="n">
        <f aca="false">MIN(AD363,MAX(0,N(Debts!$E$9)))</f>
        <v>0</v>
      </c>
      <c r="AO363" s="56" t="n">
        <f aca="false">MIN(AE363,MAX(0,N(Debts!$E$10)))</f>
        <v>0</v>
      </c>
      <c r="AP363" s="56" t="n">
        <f aca="false">MIN(AF363,MAX(0,N(Debts!$E$11)))</f>
        <v>0</v>
      </c>
      <c r="AQ363" s="56" t="n">
        <f aca="false">MIN(AG363,MAX(0,N(Debts!$E$12)))</f>
        <v>0</v>
      </c>
      <c r="AR363" s="56" t="n">
        <f aca="false">MIN(AH363,MAX(0,N(Debts!$E$13)))</f>
        <v>0</v>
      </c>
      <c r="AS363" s="56" t="n">
        <f aca="false">MIN(AI363,MAX(0,N(Debts!$E$14)))</f>
        <v>0</v>
      </c>
    </row>
    <row r="364" customFormat="false" ht="15" hidden="false" customHeight="false" outlineLevel="0" collapsed="false">
      <c r="A364" s="53" t="n">
        <v>360</v>
      </c>
      <c r="B364" s="54" t="n">
        <f aca="false">EDATE('Start Here'!$B$8,359)</f>
        <v>57254</v>
      </c>
      <c r="C364" s="42" t="n">
        <f aca="false">SUM(F364:O364)</f>
        <v>0</v>
      </c>
      <c r="D364" s="42" t="n">
        <f aca="false">ROUND(SUM($Z364:$AI364)-SUM(P363:Y363),2)</f>
        <v>0</v>
      </c>
      <c r="E364" s="55" t="n">
        <f aca="false">SUM(P364:Y364)</f>
        <v>0</v>
      </c>
      <c r="F364" s="42" t="n">
        <f aca="false">AJ364+MIN(Z364-AJ364,MAX(0,'Start Here'!$B$10-SUM($AJ364:$AS364)-SUMPRODUCT(($Z$3:$AI$3&lt;Z$3)*($Z364:$AI364-$AJ364:$AS364))))</f>
        <v>0</v>
      </c>
      <c r="G364" s="42" t="n">
        <f aca="false">AK364+MIN(AA364-AK364,MAX(0,'Start Here'!$B$10-SUM($AJ364:$AS364)-SUMPRODUCT(($Z$3:$AI$3&lt;AA$3)*($Z364:$AI364-$AJ364:$AS364))))</f>
        <v>0</v>
      </c>
      <c r="H364" s="42" t="n">
        <f aca="false">AL364+MIN(AB364-AL364,MAX(0,'Start Here'!$B$10-SUM($AJ364:$AS364)-SUMPRODUCT(($Z$3:$AI$3&lt;AB$3)*($Z364:$AI364-$AJ364:$AS364))))</f>
        <v>0</v>
      </c>
      <c r="I364" s="42" t="n">
        <f aca="false">AM364+MIN(AC364-AM364,MAX(0,'Start Here'!$B$10-SUM($AJ364:$AS364)-SUMPRODUCT(($Z$3:$AI$3&lt;AC$3)*($Z364:$AI364-$AJ364:$AS364))))</f>
        <v>0</v>
      </c>
      <c r="J364" s="42" t="n">
        <f aca="false">AN364+MIN(AD364-AN364,MAX(0,'Start Here'!$B$10-SUM($AJ364:$AS364)-SUMPRODUCT(($Z$3:$AI$3&lt;AD$3)*($Z364:$AI364-$AJ364:$AS364))))</f>
        <v>0</v>
      </c>
      <c r="K364" s="42" t="n">
        <f aca="false">AO364+MIN(AE364-AO364,MAX(0,'Start Here'!$B$10-SUM($AJ364:$AS364)-SUMPRODUCT(($Z$3:$AI$3&lt;AE$3)*($Z364:$AI364-$AJ364:$AS364))))</f>
        <v>0</v>
      </c>
      <c r="L364" s="42" t="n">
        <f aca="false">AP364+MIN(AF364-AP364,MAX(0,'Start Here'!$B$10-SUM($AJ364:$AS364)-SUMPRODUCT(($Z$3:$AI$3&lt;AF$3)*($Z364:$AI364-$AJ364:$AS364))))</f>
        <v>0</v>
      </c>
      <c r="M364" s="42" t="n">
        <f aca="false">AQ364+MIN(AG364-AQ364,MAX(0,'Start Here'!$B$10-SUM($AJ364:$AS364)-SUMPRODUCT(($Z$3:$AI$3&lt;AG$3)*($Z364:$AI364-$AJ364:$AS364))))</f>
        <v>0</v>
      </c>
      <c r="N364" s="42" t="n">
        <f aca="false">AR364+MIN(AH364-AR364,MAX(0,'Start Here'!$B$10-SUM($AJ364:$AS364)-SUMPRODUCT(($Z$3:$AI$3&lt;AH$3)*($Z364:$AI364-$AJ364:$AS364))))</f>
        <v>0</v>
      </c>
      <c r="O364" s="42" t="n">
        <f aca="false">AS364+MIN(AI364-AS364,MAX(0,'Start Here'!$B$10-SUM($AJ364:$AS364)-SUMPRODUCT(($Z$3:$AI$3&lt;AI$3)*($Z364:$AI364-$AJ364:$AS364))))</f>
        <v>0</v>
      </c>
      <c r="P364" s="42" t="n">
        <f aca="false">ROUND(Z364-F364,2)</f>
        <v>0</v>
      </c>
      <c r="Q364" s="42" t="n">
        <f aca="false">ROUND(AA364-G364,2)</f>
        <v>0</v>
      </c>
      <c r="R364" s="42" t="n">
        <f aca="false">ROUND(AB364-H364,2)</f>
        <v>0</v>
      </c>
      <c r="S364" s="42" t="n">
        <f aca="false">ROUND(AC364-I364,2)</f>
        <v>0</v>
      </c>
      <c r="T364" s="42" t="n">
        <f aca="false">ROUND(AD364-J364,2)</f>
        <v>0</v>
      </c>
      <c r="U364" s="42" t="n">
        <f aca="false">ROUND(AE364-K364,2)</f>
        <v>0</v>
      </c>
      <c r="V364" s="42" t="n">
        <f aca="false">ROUND(AF364-L364,2)</f>
        <v>0</v>
      </c>
      <c r="W364" s="42" t="n">
        <f aca="false">ROUND(AG364-M364,2)</f>
        <v>0</v>
      </c>
      <c r="X364" s="42" t="n">
        <f aca="false">ROUND(AH364-N364,2)</f>
        <v>0</v>
      </c>
      <c r="Y364" s="42" t="n">
        <f aca="false">ROUND(AI364-O364,2)</f>
        <v>0</v>
      </c>
      <c r="Z364" s="56" t="n">
        <f aca="false">ROUND(P363*(1+N(Debts!$D$5)/12),2)</f>
        <v>0</v>
      </c>
      <c r="AA364" s="56" t="n">
        <f aca="false">ROUND(Q363*(1+N(Debts!$D$6)/12),2)</f>
        <v>0</v>
      </c>
      <c r="AB364" s="56" t="n">
        <f aca="false">ROUND(R363*(1+N(Debts!$D$7)/12),2)</f>
        <v>0</v>
      </c>
      <c r="AC364" s="56" t="n">
        <f aca="false">ROUND(S363*(1+N(Debts!$D$8)/12),2)</f>
        <v>0</v>
      </c>
      <c r="AD364" s="56" t="n">
        <f aca="false">ROUND(T363*(1+N(Debts!$D$9)/12),2)</f>
        <v>0</v>
      </c>
      <c r="AE364" s="56" t="n">
        <f aca="false">ROUND(U363*(1+N(Debts!$D$10)/12),2)</f>
        <v>0</v>
      </c>
      <c r="AF364" s="56" t="n">
        <f aca="false">ROUND(V363*(1+N(Debts!$D$11)/12),2)</f>
        <v>0</v>
      </c>
      <c r="AG364" s="56" t="n">
        <f aca="false">ROUND(W363*(1+N(Debts!$D$12)/12),2)</f>
        <v>0</v>
      </c>
      <c r="AH364" s="56" t="n">
        <f aca="false">ROUND(X363*(1+N(Debts!$D$13)/12),2)</f>
        <v>0</v>
      </c>
      <c r="AI364" s="56" t="n">
        <f aca="false">ROUND(Y363*(1+N(Debts!$D$14)/12),2)</f>
        <v>0</v>
      </c>
      <c r="AJ364" s="56" t="n">
        <f aca="false">MIN(Z364,MAX(0,N(Debts!$E$5)))</f>
        <v>0</v>
      </c>
      <c r="AK364" s="56" t="n">
        <f aca="false">MIN(AA364,MAX(0,N(Debts!$E$6)))</f>
        <v>0</v>
      </c>
      <c r="AL364" s="56" t="n">
        <f aca="false">MIN(AB364,MAX(0,N(Debts!$E$7)))</f>
        <v>0</v>
      </c>
      <c r="AM364" s="56" t="n">
        <f aca="false">MIN(AC364,MAX(0,N(Debts!$E$8)))</f>
        <v>0</v>
      </c>
      <c r="AN364" s="56" t="n">
        <f aca="false">MIN(AD364,MAX(0,N(Debts!$E$9)))</f>
        <v>0</v>
      </c>
      <c r="AO364" s="56" t="n">
        <f aca="false">MIN(AE364,MAX(0,N(Debts!$E$10)))</f>
        <v>0</v>
      </c>
      <c r="AP364" s="56" t="n">
        <f aca="false">MIN(AF364,MAX(0,N(Debts!$E$11)))</f>
        <v>0</v>
      </c>
      <c r="AQ364" s="56" t="n">
        <f aca="false">MIN(AG364,MAX(0,N(Debts!$E$12)))</f>
        <v>0</v>
      </c>
      <c r="AR364" s="56" t="n">
        <f aca="false">MIN(AH364,MAX(0,N(Debts!$E$13)))</f>
        <v>0</v>
      </c>
      <c r="AS364" s="56" t="n">
        <f aca="false">MIN(AI364,MAX(0,N(Debts!$E$14)))</f>
        <v>0</v>
      </c>
    </row>
  </sheetData>
  <conditionalFormatting sqref="A6:E364">
    <cfRule type="expression" priority="2" aboveAverage="0" equalAverage="0" bottom="0" percent="0" rank="0" text="" dxfId="2">
      <formula>AND($E6&lt;=0.005,$E5&gt;0.005)</formula>
    </cfRule>
  </conditionalFormatting>
  <conditionalFormatting sqref="P5:Y364">
    <cfRule type="expression" priority="3" aboveAverage="0" equalAverage="0" bottom="0" percent="0" rank="0" text="" dxfId="2">
      <formula>AND(P5&lt;=0.005,Z5&gt;0.005)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</cols>
  <sheetData>
    <row r="1" customFormat="false" ht="33.75" hidden="false" customHeight="true" outlineLevel="0" collapsed="false">
      <c r="A1" s="1" t="s">
        <v>48</v>
      </c>
      <c r="B1" s="2"/>
      <c r="C1" s="2"/>
      <c r="D1" s="2"/>
    </row>
    <row r="2" customFormat="false" ht="21.75" hidden="false" customHeight="true" outlineLevel="0" collapsed="false">
      <c r="A2" s="32" t="s">
        <v>86</v>
      </c>
      <c r="B2" s="33"/>
      <c r="C2" s="33"/>
      <c r="D2" s="33"/>
    </row>
    <row r="3" customFormat="false" ht="9.75" hidden="false" customHeight="true" outlineLevel="0" collapsed="false"/>
    <row r="4" customFormat="false" ht="30" hidden="false" customHeight="true" outlineLevel="0" collapsed="false">
      <c r="A4" s="57" t="s">
        <v>7</v>
      </c>
    </row>
    <row r="5" customFormat="false" ht="15" hidden="false" customHeight="false" outlineLevel="0" collapsed="false">
      <c r="A5" s="37" t="s">
        <v>8</v>
      </c>
    </row>
    <row r="6" customFormat="false" ht="15" hidden="false" customHeight="false" outlineLevel="0" collapsed="false">
      <c r="A6" s="37" t="s">
        <v>40</v>
      </c>
    </row>
    <row r="7" customFormat="false" ht="15" hidden="false" customHeight="false" outlineLevel="0" collapsed="false">
      <c r="A7" s="58"/>
    </row>
    <row r="8" customFormat="false" ht="15" hidden="false" customHeight="false" outlineLevel="0" collapsed="false">
      <c r="A8" s="58"/>
    </row>
    <row r="9" customFormat="false" ht="15" hidden="false" customHeight="false" outlineLevel="0" collapsed="false">
      <c r="A9" s="58"/>
    </row>
    <row r="10" customFormat="false" ht="15" hidden="false" customHeight="false" outlineLevel="0" collapsed="false">
      <c r="A10" s="58"/>
    </row>
    <row r="12" customFormat="false" ht="15" hidden="false" customHeight="false" outlineLevel="0" collapsed="false">
      <c r="A12" s="47" t="s">
        <v>87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51</v>
      </c>
      <c r="B1" s="2"/>
      <c r="C1" s="2"/>
    </row>
    <row r="2" customFormat="false" ht="21.75" hidden="false" customHeight="true" outlineLevel="0" collapsed="false">
      <c r="A2" s="32" t="s">
        <v>88</v>
      </c>
      <c r="B2" s="33"/>
      <c r="C2" s="33"/>
    </row>
    <row r="3" customFormat="false" ht="9.75" hidden="false" customHeight="true" outlineLevel="0" collapsed="false"/>
    <row r="4" customFormat="false" ht="25.5" hidden="false" customHeight="true" outlineLevel="0" collapsed="false">
      <c r="A4" s="59" t="s">
        <v>89</v>
      </c>
      <c r="B4" s="60" t="s">
        <v>90</v>
      </c>
      <c r="C4" s="59" t="s">
        <v>91</v>
      </c>
    </row>
    <row r="5" customFormat="false" ht="21.75" hidden="false" customHeight="true" outlineLevel="0" collapsed="false">
      <c r="A5" s="58" t="s">
        <v>92</v>
      </c>
      <c r="B5" s="61" t="str">
        <f aca="false">IF(COUNTIFS(Debts!$B$5:$B$14,"&lt;&gt;",Debts!$C$5:$C$14,"")+COUNTIFS(Debts!$B$5:$B$14,"&lt;&gt;",Debts!$D$5:$D$14,"")+COUNTIFS(Debts!$B$5:$B$14,"&lt;&gt;",Debts!$E$5:$E$14,"")=0,"OK","Review")</f>
        <v>OK</v>
      </c>
      <c r="C5" s="43" t="s">
        <v>41</v>
      </c>
    </row>
    <row r="6" customFormat="false" ht="21.75" hidden="false" customHeight="true" outlineLevel="0" collapsed="false">
      <c r="A6" s="58" t="s">
        <v>93</v>
      </c>
      <c r="B6" s="61" t="str">
        <f aca="false">IF(COUNTIF(Debts!$D$5:$D$14,"&gt;=1")=0,"OK","Review")</f>
        <v>OK</v>
      </c>
      <c r="C6" s="43" t="s">
        <v>94</v>
      </c>
    </row>
    <row r="7" customFormat="false" ht="21.75" hidden="false" customHeight="true" outlineLevel="0" collapsed="false">
      <c r="A7" s="58" t="s">
        <v>95</v>
      </c>
      <c r="B7" s="61" t="str">
        <f aca="false">IF(SUMPRODUCT((Debts!$C$5:$C$14&gt;0)*(Debts!$E$5:$E$14&lt;=ROUND(Debts!$C$5:$C$14*Debts!$D$5:$D$14/12,2)))=0,"OK","Review")</f>
        <v>OK</v>
      </c>
      <c r="C7" s="43" t="s">
        <v>96</v>
      </c>
    </row>
    <row r="8" customFormat="false" ht="21.75" hidden="false" customHeight="true" outlineLevel="0" collapsed="false">
      <c r="A8" s="58" t="s">
        <v>97</v>
      </c>
      <c r="B8" s="61" t="str">
        <f aca="false">IF(N('Start Here'!$B$7)&gt;=0,"OK","Review")</f>
        <v>OK</v>
      </c>
      <c r="C8" s="43" t="s">
        <v>98</v>
      </c>
    </row>
    <row r="9" customFormat="false" ht="21.75" hidden="false" customHeight="true" outlineLevel="0" collapsed="false">
      <c r="A9" s="58" t="s">
        <v>99</v>
      </c>
      <c r="B9" s="61" t="str">
        <f aca="false">IF(AND(ISNUMBER(IF(COUNTIF(Snowball!$E$5:$E$364,"&gt;0.005")&gt;=360,"Over 30 years",COUNTIF(Snowball!$E$5:$E$364,"&gt;0.005")+1)),ISNUMBER(IF(COUNTIF(Avalanche!$E$5:$E$364,"&gt;0.005")&gt;=360,"Over 30 years",COUNTIF(Avalanche!$E$5:$E$364,"&gt;0.005")+1))),"OK","Review")</f>
        <v>OK</v>
      </c>
      <c r="C9" s="43" t="s">
        <v>100</v>
      </c>
    </row>
    <row r="10" customFormat="false" ht="21.75" hidden="false" customHeight="true" outlineLevel="0" collapsed="false">
      <c r="A10" s="58" t="s">
        <v>101</v>
      </c>
      <c r="B10" s="61" t="str">
        <f aca="false">IF(ISNUMBER('Start Here'!$B$8),"OK","Review")</f>
        <v>OK</v>
      </c>
      <c r="C10" s="43" t="s">
        <v>102</v>
      </c>
    </row>
    <row r="12" customFormat="false" ht="15" hidden="false" customHeight="false" outlineLevel="0" collapsed="false">
      <c r="A12" s="47" t="s">
        <v>103</v>
      </c>
    </row>
  </sheetData>
  <conditionalFormatting sqref="B5:B10">
    <cfRule type="containsText" priority="2" operator="containsText" aboveAverage="0" equalAverage="0" bottom="0" percent="0" rank="0" text="Overdue" dxfId="1">
      <formula>NOT(ISERROR(SEARCH("Overdue",B5)))</formula>
    </cfRule>
    <cfRule type="containsText" priority="3" operator="containsText" aboveAverage="0" equalAverage="0" bottom="0" percent="0" rank="0" text="Late" dxfId="1">
      <formula>NOT(ISERROR(SEARCH("Late",B5)))</formula>
    </cfRule>
    <cfRule type="containsText" priority="4" operator="containsText" aboveAverage="0" equalAverage="0" bottom="0" percent="0" rank="0" text="Review" dxfId="3">
      <formula>NOT(ISERROR(SEARCH("Review",B5)))</formula>
    </cfRule>
    <cfRule type="containsText" priority="5" operator="containsText" aboveAverage="0" equalAverage="0" bottom="0" percent="0" rank="0" text="OK" dxfId="4">
      <formula>NOT(ISERROR(SEARCH("OK",B5)))</formula>
    </cfRule>
    <cfRule type="containsText" priority="6" operator="containsText" aboveAverage="0" equalAverage="0" bottom="0" percent="0" rank="0" text="Complete" dxfId="4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2026-10-28T23:15:29Z</dcterms:created>
  <dc:creator>ArumSoft Learning</dc:creator>
  <dc:description/>
  <dc:language>en-US</dc:language>
  <cp:lastModifiedBy/>
  <dcterms:modified xsi:type="dcterms:W3CDTF">2026-10-28T19:15:35Z</dcterms:modified>
  <cp:revision>1</cp:revision>
  <dc:subject/>
  <dc:title>Debt Snowball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