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Details" sheetId="2" state="visible" r:id="rId4"/>
    <sheet name="Items" sheetId="3" state="visible" r:id="rId5"/>
    <sheet name="Estimate" sheetId="4" state="visible" r:id="rId6"/>
    <sheet name="Invoice" sheetId="5" state="visible" r:id="rId7"/>
    <sheet name="Lists" sheetId="6" state="visible" r:id="rId8"/>
    <sheet name="Checks" sheetId="7" state="visible" r:id="rId9"/>
  </sheets>
  <definedNames>
    <definedName function="false" hidden="false" localSheetId="3" name="_xlnm.Print_Area" vbProcedure="false">Estimate!$A$1:$F$54</definedName>
    <definedName function="false" hidden="false" localSheetId="4" name="_xlnm.Print_Area" vbProcedure="false">Invoice!$A$1:$F$55</definedName>
    <definedName function="false" hidden="false" localSheetId="2" name="_xlnm.Print_Titles" vbProcedure="false">Items!$4:$4</definedName>
    <definedName function="false" hidden="false" localSheetId="5" name="_xlnm.Print_Titles" vbProcedure="false">Lists!$4:$4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<sst xmlns="http://schemas.openxmlformats.org/spreadsheetml/2006/main" count="260" uniqueCount="194">
  <si>
    <t xml:space="preserve">Contractor Estimate and Invoice</t>
  </si>
  <si>
    <t xml:space="preserve">Enter the job once on Details and Items. The Estimate and Invoice sheets fill themselves in, ready to print or save as PDF.</t>
  </si>
  <si>
    <t xml:space="preserve">KEY METRICS</t>
  </si>
  <si>
    <t xml:space="preserve">HOW TO USE THIS TEMPLATE</t>
  </si>
  <si>
    <t xml:space="preserve">Metric</t>
  </si>
  <si>
    <t xml:space="preserve">Value</t>
  </si>
  <si>
    <t xml:space="preserve">Notes</t>
  </si>
  <si>
    <t xml:space="preserve">Estimate Total</t>
  </si>
  <si>
    <t xml:space="preserve">Including discount and tax.</t>
  </si>
  <si>
    <t xml:space="preserve">Pale yellow: type your own data here.</t>
  </si>
  <si>
    <t xml:space="preserve">Invoice Total</t>
  </si>
  <si>
    <t xml:space="preserve">Uses Actual Qty where you entered one.</t>
  </si>
  <si>
    <t xml:space="preserve">Green: formulas that update on their own. Don't type over them.</t>
  </si>
  <si>
    <t xml:space="preserve">Change vs Estimate</t>
  </si>
  <si>
    <t xml:space="preserve">Invoice total less estimate total.</t>
  </si>
  <si>
    <t xml:space="preserve">▾</t>
  </si>
  <si>
    <t xml:space="preserve">Dropdown arrow: pick from the list. Edit the choices on the Lists tab.</t>
  </si>
  <si>
    <t xml:space="preserve">Balance Due</t>
  </si>
  <si>
    <t xml:space="preserve">Invoice total less payments received.</t>
  </si>
  <si>
    <t xml:space="preserve">!</t>
  </si>
  <si>
    <t xml:space="preserve">Checks tab: Review means something needs a look.</t>
  </si>
  <si>
    <t xml:space="preserve">Due Date</t>
  </si>
  <si>
    <t xml:space="preserve">Invoice date plus the payment terms.</t>
  </si>
  <si>
    <t xml:space="preserve">→</t>
  </si>
  <si>
    <t xml:space="preserve">Step-by-step guide: arumsoft.com/resources</t>
  </si>
  <si>
    <t xml:space="preserve">Markup Earned</t>
  </si>
  <si>
    <t xml:space="preserve">Invoice amounts less your cost, before discount.</t>
  </si>
  <si>
    <t xml:space="preserve">Checks needing review</t>
  </si>
  <si>
    <t xml:space="preserve">WORKBOOK NAVIGATION</t>
  </si>
  <si>
    <t xml:space="preserve">INVOICE BY ITEM TYPE</t>
  </si>
  <si>
    <t xml:space="preserve">Sheet (click to open)</t>
  </si>
  <si>
    <t xml:space="preserve">What it's for</t>
  </si>
  <si>
    <t xml:space="preserve">Type</t>
  </si>
  <si>
    <t xml:space="preserve">Amount</t>
  </si>
  <si>
    <t xml:space="preserve">Details</t>
  </si>
  <si>
    <t xml:space="preserve">Your business, client, job, numbers, tax and markup.</t>
  </si>
  <si>
    <t xml:space="preserve">Items</t>
  </si>
  <si>
    <t xml:space="preserve">Line items with quantities, costs and markup.</t>
  </si>
  <si>
    <t xml:space="preserve">Estimate</t>
  </si>
  <si>
    <t xml:space="preserve">Print-ready estimate (one page).</t>
  </si>
  <si>
    <t xml:space="preserve">Invoice</t>
  </si>
  <si>
    <t xml:space="preserve">Print-ready invoice (one page).</t>
  </si>
  <si>
    <t xml:space="preserve">Lists</t>
  </si>
  <si>
    <t xml:space="preserve">Edit types, units and payment terms.</t>
  </si>
  <si>
    <t xml:space="preserve">Checks</t>
  </si>
  <si>
    <t xml:space="preserve">Review flags before sending.</t>
  </si>
  <si>
    <t xml:space="preserve">Your business, the client, the job, numbering, tax and markup. Everything on the Estimate and Invoice comes from here and the Items sheet.</t>
  </si>
  <si>
    <t xml:space="preserve">YOUR BUSINESS</t>
  </si>
  <si>
    <t xml:space="preserve">MARKUP BY ITEM TYPE</t>
  </si>
  <si>
    <t xml:space="preserve">Business name</t>
  </si>
  <si>
    <t xml:space="preserve">Northline Home Renovations</t>
  </si>
  <si>
    <t xml:space="preserve">Type  →  markup % added to your cost</t>
  </si>
  <si>
    <t xml:space="preserve">Street address</t>
  </si>
  <si>
    <t xml:space="preserve">418 Cedar Lane</t>
  </si>
  <si>
    <t xml:space="preserve">City, state and ZIP</t>
  </si>
  <si>
    <t xml:space="preserve">Maple Grove, MN 55311</t>
  </si>
  <si>
    <t xml:space="preserve">Phone</t>
  </si>
  <si>
    <t xml:space="preserve">(555) 014-2290</t>
  </si>
  <si>
    <t xml:space="preserve">Email</t>
  </si>
  <si>
    <t xml:space="preserve">office@example.com</t>
  </si>
  <si>
    <t xml:space="preserve">License or tax ID</t>
  </si>
  <si>
    <t xml:space="preserve">Lic. #BC-204817</t>
  </si>
  <si>
    <t xml:space="preserve">CLIENT</t>
  </si>
  <si>
    <t xml:space="preserve">Labor is usually 0% because your hourly rate already includes your margin.</t>
  </si>
  <si>
    <t xml:space="preserve">Client name</t>
  </si>
  <si>
    <t xml:space="preserve">Dana Whitfield</t>
  </si>
  <si>
    <t xml:space="preserve">27 Orchard Street</t>
  </si>
  <si>
    <t xml:space="preserve">(555) 018-7741</t>
  </si>
  <si>
    <t xml:space="preserve">dana.w@example.com</t>
  </si>
  <si>
    <t xml:space="preserve">JOB</t>
  </si>
  <si>
    <t xml:space="preserve">Job name</t>
  </si>
  <si>
    <t xml:space="preserve">Hall bathroom remodel</t>
  </si>
  <si>
    <t xml:space="preserve">Job site address</t>
  </si>
  <si>
    <t xml:space="preserve">27 Orchard Street, Maple Grove</t>
  </si>
  <si>
    <t xml:space="preserve">Description of work</t>
  </si>
  <si>
    <t xml:space="preserve">Remove the existing tub and tile. Install a walk-in shower with a glass door, new vanity, toilet and vinyl plank flooring. Add a fan and lighting circuit, then paint and finish trim.</t>
  </si>
  <si>
    <t xml:space="preserve">ESTIMATE</t>
  </si>
  <si>
    <t xml:space="preserve">Estimate number</t>
  </si>
  <si>
    <t xml:space="preserve">EST-0318</t>
  </si>
  <si>
    <t xml:space="preserve">Estimate date</t>
  </si>
  <si>
    <t xml:space="preserve">Valid for (days)</t>
  </si>
  <si>
    <t xml:space="preserve">Deposit required to start</t>
  </si>
  <si>
    <t xml:space="preserve">INVOICE</t>
  </si>
  <si>
    <t xml:space="preserve">Invoice prefix</t>
  </si>
  <si>
    <t xml:space="preserve">INV-</t>
  </si>
  <si>
    <t xml:space="preserve">Invoice number</t>
  </si>
  <si>
    <t xml:space="preserve">Invoice date</t>
  </si>
  <si>
    <t xml:space="preserve">Payment terms</t>
  </si>
  <si>
    <t xml:space="preserve">Net 15</t>
  </si>
  <si>
    <t xml:space="preserve">Deposit received</t>
  </si>
  <si>
    <t xml:space="preserve">Other payments received</t>
  </si>
  <si>
    <t xml:space="preserve">TAX AND DISCOUNT</t>
  </si>
  <si>
    <t xml:space="preserve">Sales tax rate (on taxable lines)</t>
  </si>
  <si>
    <t xml:space="preserve">Discount on this job</t>
  </si>
  <si>
    <t xml:space="preserve">NOTES</t>
  </si>
  <si>
    <t xml:space="preserve">Estimate notes and terms</t>
  </si>
  <si>
    <t xml:space="preserve">Price includes labor, materials and cleanup. Changes to the scope are quoted separately. A 30% deposit is due to schedule the work.</t>
  </si>
  <si>
    <t xml:space="preserve">Payment instructions</t>
  </si>
  <si>
    <t xml:space="preserve">Pay by check to Northline Home Renovations or by bank transfer. Please include the invoice number with your payment.</t>
  </si>
  <si>
    <t xml:space="preserve">One row per line item. Est. Qty goes on the Estimate. Add Actual Qty when the job is done and the Invoice uses it instead.</t>
  </si>
  <si>
    <t xml:space="preserve">Description</t>
  </si>
  <si>
    <t xml:space="preserve">Unit</t>
  </si>
  <si>
    <t xml:space="preserve">Est. Qty</t>
  </si>
  <si>
    <t xml:space="preserve">Cost / Unit</t>
  </si>
  <si>
    <t xml:space="preserve">Markup %</t>
  </si>
  <si>
    <t xml:space="preserve">Price / Unit</t>
  </si>
  <si>
    <t xml:space="preserve">Estimate Amount</t>
  </si>
  <si>
    <t xml:space="preserve">Actual Qty</t>
  </si>
  <si>
    <t xml:space="preserve">Invoice Qty</t>
  </si>
  <si>
    <t xml:space="preserve">Invoice Amount</t>
  </si>
  <si>
    <t xml:space="preserve">Taxable</t>
  </si>
  <si>
    <t xml:space="preserve">Labor</t>
  </si>
  <si>
    <t xml:space="preserve">Demolition and haul-away</t>
  </si>
  <si>
    <t xml:space="preserve">hr</t>
  </si>
  <si>
    <t xml:space="preserve">No</t>
  </si>
  <si>
    <t xml:space="preserve">Plumbing rough-in and fixture install</t>
  </si>
  <si>
    <t xml:space="preserve">Tile installation, shower and floor</t>
  </si>
  <si>
    <t xml:space="preserve">Paint and finish carpentry</t>
  </si>
  <si>
    <t xml:space="preserve">Materials</t>
  </si>
  <si>
    <t xml:space="preserve">Shower tile and setting materials</t>
  </si>
  <si>
    <t xml:space="preserve">sq ft</t>
  </si>
  <si>
    <t xml:space="preserve">Yes</t>
  </si>
  <si>
    <t xml:space="preserve">Glass shower door</t>
  </si>
  <si>
    <t xml:space="preserve">ea</t>
  </si>
  <si>
    <t xml:space="preserve">Vanity with top</t>
  </si>
  <si>
    <t xml:space="preserve">Toilet</t>
  </si>
  <si>
    <t xml:space="preserve">Vinyl plank flooring</t>
  </si>
  <si>
    <t xml:space="preserve">Equipment</t>
  </si>
  <si>
    <t xml:space="preserve">Dumpster rental</t>
  </si>
  <si>
    <t xml:space="preserve">day</t>
  </si>
  <si>
    <t xml:space="preserve">Subcontract</t>
  </si>
  <si>
    <t xml:space="preserve">Electrician: fan and lighting circuit</t>
  </si>
  <si>
    <t xml:space="preserve">lot</t>
  </si>
  <si>
    <t xml:space="preserve">Other</t>
  </si>
  <si>
    <t xml:space="preserve">Building permit</t>
  </si>
  <si>
    <t xml:space="preserve">Estimate #</t>
  </si>
  <si>
    <t xml:space="preserve">Date</t>
  </si>
  <si>
    <t xml:space="preserve">Valid until</t>
  </si>
  <si>
    <t xml:space="preserve">PREPARED FOR</t>
  </si>
  <si>
    <t xml:space="preserve">JOB SITE</t>
  </si>
  <si>
    <t xml:space="preserve">DESCRIPTION OF WORK</t>
  </si>
  <si>
    <t xml:space="preserve">#</t>
  </si>
  <si>
    <t xml:space="preserve">Qty</t>
  </si>
  <si>
    <t xml:space="preserve">Unit Price</t>
  </si>
  <si>
    <t xml:space="preserve">NOTES AND TERMS</t>
  </si>
  <si>
    <t xml:space="preserve">Subtotal</t>
  </si>
  <si>
    <t xml:space="preserve">Discount</t>
  </si>
  <si>
    <t xml:space="preserve">Tax</t>
  </si>
  <si>
    <t xml:space="preserve">Total</t>
  </si>
  <si>
    <t xml:space="preserve">Deposit to start</t>
  </si>
  <si>
    <t xml:space="preserve">Accepted by: ______________________________</t>
  </si>
  <si>
    <t xml:space="preserve">Date: ______________</t>
  </si>
  <si>
    <t xml:space="preserve">To accept, sign and return this estimate with the deposit. Thank you for the opportunity to quote this job.</t>
  </si>
  <si>
    <t xml:space="preserve">Invoice #</t>
  </si>
  <si>
    <t xml:space="preserve">Due date</t>
  </si>
  <si>
    <t xml:space="preserve">Terms</t>
  </si>
  <si>
    <t xml:space="preserve">BILL TO</t>
  </si>
  <si>
    <t xml:space="preserve">PAYMENT INSTRUCTIONS</t>
  </si>
  <si>
    <t xml:space="preserve">Less deposit received</t>
  </si>
  <si>
    <t xml:space="preserve">Less other payments</t>
  </si>
  <si>
    <t xml:space="preserve">Balance due</t>
  </si>
  <si>
    <t xml:space="preserve">Thank you for your business.</t>
  </si>
  <si>
    <t xml:space="preserve">Dropdown choices used across the workbook. Add, rename or remove items here and the dropdowns update.</t>
  </si>
  <si>
    <t xml:space="preserve">Item Types</t>
  </si>
  <si>
    <t xml:space="preserve">Units</t>
  </si>
  <si>
    <t xml:space="preserve">Yes / No</t>
  </si>
  <si>
    <t xml:space="preserve">Payment Terms</t>
  </si>
  <si>
    <t xml:space="preserve">Terms Days</t>
  </si>
  <si>
    <t xml:space="preserve">Due on receipt</t>
  </si>
  <si>
    <t xml:space="preserve">Net 7</t>
  </si>
  <si>
    <t xml:space="preserve">ln ft</t>
  </si>
  <si>
    <t xml:space="preserve">Net 30</t>
  </si>
  <si>
    <t xml:space="preserve">gal</t>
  </si>
  <si>
    <t xml:space="preserve">box</t>
  </si>
  <si>
    <t xml:space="preserve">Item Types feed the markup table on Details (5 types). Terms Days is the number of days after the invoice date that payment is due.</t>
  </si>
  <si>
    <t xml:space="preserve">Quick review flags before you send an estimate or invoice.</t>
  </si>
  <si>
    <t xml:space="preserve">Check</t>
  </si>
  <si>
    <t xml:space="preserve">Status</t>
  </si>
  <si>
    <t xml:space="preserve">Where to Fix</t>
  </si>
  <si>
    <t xml:space="preserve">Every line item has a type</t>
  </si>
  <si>
    <t xml:space="preserve">Items: Type</t>
  </si>
  <si>
    <t xml:space="preserve">Every line item has a quantity and a cost</t>
  </si>
  <si>
    <t xml:space="preserve">Items: Est. Qty and Cost / Unit</t>
  </si>
  <si>
    <t xml:space="preserve">Every line item says whether it is taxable</t>
  </si>
  <si>
    <t xml:space="preserve">Items: Taxable</t>
  </si>
  <si>
    <t xml:space="preserve">Client name is filled in</t>
  </si>
  <si>
    <t xml:space="preserve">Details: Client name</t>
  </si>
  <si>
    <t xml:space="preserve">Tax rate and discount are between 0% and 100%</t>
  </si>
  <si>
    <t xml:space="preserve">Details: Tax and discount</t>
  </si>
  <si>
    <t xml:space="preserve">Payments received are not more than the invoice total</t>
  </si>
  <si>
    <t xml:space="preserve">Details: Deposit received</t>
  </si>
  <si>
    <t xml:space="preserve">Invoice is not past due</t>
  </si>
  <si>
    <t xml:space="preserve">Invoice: Due date and Balance due</t>
  </si>
  <si>
    <t xml:space="preserve">OK means the check passed. Review means something needs a look: open the sheet named in Where to Fix.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</si>
</sst>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\$#,##0.00;[RED]&quot;-$&quot;#,##0.00;\–"/>
    <numFmt numFmtId="166" formatCode="mmm\ d&quot;, &quot;yyyy"/>
    <numFmt numFmtId="167" formatCode="0"/>
    <numFmt numFmtId="168" formatCode="\$#,##0;[RED]&quot;-$&quot;#,##0;\–"/>
    <numFmt numFmtId="169" formatCode="\$#,##0"/>
    <numFmt numFmtId="170" formatCode="0%"/>
    <numFmt numFmtId="171" formatCode="0.000%"/>
    <numFmt numFmtId="172" formatCode="0.0%"/>
    <numFmt numFmtId="173" formatCode="#,##0.##;\-#,##0.##;0"/>
    <numFmt numFmtId="174" formatCode="General"/>
    <numFmt numFmtId="175" formatCode="0.###%"/>
  </numFmts>
  <fonts count="2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1"/>
      <color theme="1"/>
      <name val="Calibri"/>
      <family val="2"/>
      <charset val="1"/>
    </font>
    <font>
      <sz val="10"/>
      <color rgb="FF6B7280"/>
      <name val="Arial"/>
      <family val="0"/>
      <charset val="1"/>
    </font>
    <font>
      <b val="true"/>
      <sz val="9"/>
      <color rgb="FF0F4C3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3"/>
      <color rgb="FF166534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1F2937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77A5A"/>
      <name val="Arial"/>
      <family val="0"/>
      <charset val="1"/>
    </font>
    <font>
      <b val="true"/>
      <u val="single"/>
      <sz val="9"/>
      <color rgb="FF177A5A"/>
      <name val="Arial"/>
      <family val="0"/>
      <charset val="1"/>
    </font>
    <font>
      <b val="true"/>
      <u val="single"/>
      <sz val="10"/>
      <color rgb="FF177A5A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sz val="10"/>
      <color rgb="FF000000"/>
      <name val="Calibri"/>
      <family val="2"/>
    </font>
    <font>
      <sz val="10"/>
      <color rgb="FF16653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0F4C3A"/>
      <name val="Arial"/>
      <family val="0"/>
      <charset val="1"/>
    </font>
    <font>
      <b val="true"/>
      <sz val="20"/>
      <color rgb="FF177A5A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b val="true"/>
      <sz val="12"/>
      <color rgb="FF0F4C3A"/>
      <name val="Arial"/>
      <family val="0"/>
      <charset val="1"/>
    </font>
    <font>
      <b val="true"/>
      <sz val="10"/>
      <color rgb="FF0F4C3A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CFDF5"/>
      </patternFill>
    </fill>
    <fill>
      <patternFill patternType="solid">
        <fgColor rgb="FFECFDF5"/>
        <bgColor rgb="FFF4F7F6"/>
      </patternFill>
    </fill>
    <fill>
      <patternFill patternType="solid">
        <fgColor rgb="FFFFF7ED"/>
        <bgColor rgb="FFF4F7F6"/>
      </patternFill>
    </fill>
    <fill>
      <patternFill patternType="solid">
        <fgColor rgb="FF177A5A"/>
        <bgColor rgb="FF008080"/>
      </patternFill>
    </fill>
    <fill>
      <patternFill patternType="solid">
        <fgColor rgb="FFFFFFFF"/>
        <bgColor rgb="FFFFF7ED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  <border diagonalUp="false" diagonalDown="false">
      <left/>
      <right/>
      <top style="medium">
        <color rgb="FF177A5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9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8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6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3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2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4" fontId="1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1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5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6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6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CFDF5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ill>
        <patternFill patternType="solid">
          <fgColor rgb="FF6B7280"/>
          <bgColor rgb="FF00000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b val="1"/>
        <color rgb="FF166534"/>
      </font>
      <fill>
        <patternFill>
          <bgColor rgb="FFECFD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78787"/>
      <rgbColor rgb="FF9999FF"/>
      <rgbColor rgb="FF993366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B5E3C9"/>
      <rgbColor rgb="FFE5E7EB"/>
      <rgbColor rgb="FF99CCFF"/>
      <rgbColor rgb="FFFF99CC"/>
      <rgbColor rgb="FFCC99FF"/>
      <rgbColor rgb="FFFEE2E2"/>
      <rgbColor rgb="FF3B6EA8"/>
      <rgbColor rgb="FF33CCCC"/>
      <rgbColor rgb="FF99CC00"/>
      <rgbColor rgb="FFFFCC00"/>
      <rgbColor rgb="FFFF9900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177a5a"/>
            </a:solidFill>
            <a:ln w="9360">
              <a:solidFill>
                <a:srgbClr val="177a5a"/>
              </a:solidFill>
              <a:round/>
            </a:ln>
          </c:spPr>
          <c:invertIfNegative val="0"/>
          <c:dLbls>
            <c:numFmt formatCode="\$#,##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'Start Here'!$E$15:$E$19</c:f>
              <c:strCache>
                <c:ptCount val="5"/>
                <c:pt idx="0">
                  <c:v>Labor</c:v>
                </c:pt>
                <c:pt idx="1">
                  <c:v>Materials</c:v>
                </c:pt>
                <c:pt idx="2">
                  <c:v>Equipment</c:v>
                </c:pt>
                <c:pt idx="3">
                  <c:v>Subcontract</c:v>
                </c:pt>
                <c:pt idx="4">
                  <c:v>Other</c:v>
                </c:pt>
              </c:strCache>
            </c:strRef>
          </c:cat>
          <c:val>
            <c:numRef>
              <c:f>'Start Here'!$G$15:$G$19</c:f>
              <c:numCache>
                <c:formatCode>\$#,##0;[RED]"-$"#,##0;\–</c:formatCode>
                <c:ptCount val="5"/>
                <c:pt idx="0">
                  <c:v>4720</c:v>
                </c:pt>
                <c:pt idx="1">
                  <c:v>3072.29</c:v>
                </c:pt>
                <c:pt idx="2">
                  <c:v>247.5</c:v>
                </c:pt>
                <c:pt idx="3">
                  <c:v>715</c:v>
                </c:pt>
                <c:pt idx="4">
                  <c:v>175</c:v>
                </c:pt>
              </c:numCache>
            </c:numRef>
          </c:val>
        </c:ser>
        <c:gapWidth val="60"/>
        <c:overlap val="0"/>
        <c:axId val="56144347"/>
        <c:axId val="34964777"/>
      </c:barChart>
      <c:catAx>
        <c:axId val="5614434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964777"/>
        <c:crosses val="autoZero"/>
        <c:auto val="1"/>
        <c:lblAlgn val="ctr"/>
        <c:lblOffset val="100"/>
        <c:noMultiLvlLbl val="0"/>
      </c:catAx>
      <c:valAx>
        <c:axId val="34964777"/>
        <c:scaling>
          <c:orientation val="minMax"/>
        </c:scaling>
        <c:delete val="1"/>
        <c:axPos val="l"/>
        <c:numFmt formatCode="\$#,##0;[RED]&quot;-$&quot;#,##0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144347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20</xdr:row>
      <xdr:rowOff>0</xdr:rowOff>
    </xdr:from>
    <xdr:to>
      <xdr:col>8</xdr:col>
      <xdr:colOff>411480</xdr:colOff>
      <xdr:row>34</xdr:row>
      <xdr:rowOff>32400</xdr:rowOff>
    </xdr:to>
    <xdr:graphicFrame>
      <xdr:nvGraphicFramePr>
        <xdr:cNvPr id="0" name="Chart 1"/>
        <xdr:cNvGraphicFramePr/>
      </xdr:nvGraphicFramePr>
      <xdr:xfrm>
        <a:off x="6555240" y="5724360"/>
        <a:ext cx="44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ItemsTable" displayName="ItemsTable" ref="A4:M29" headerRowCount="1" totalsRowCount="0" totalsRowShown="0">
  <autoFilter ref="A4:M29"/>
  <tableColumns count="13">
    <tableColumn id="1" name="Type"/>
    <tableColumn id="2" name="Description"/>
    <tableColumn id="3" name="Unit"/>
    <tableColumn id="4" name="Est. Qty"/>
    <tableColumn id="5" name="Cost / Unit"/>
    <tableColumn id="6" name="Markup %"/>
    <tableColumn id="7" name="Price / Unit"/>
    <tableColumn id="8" name="Estimate Amount"/>
    <tableColumn id="9" name="Actual Qty"/>
    <tableColumn id="10" name="Invoice Qty"/>
    <tableColumn id="11" name="Invoice Amount"/>
    <tableColumn id="12" name="Taxable"/>
    <tableColumn id="13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umsoft.com/resources/excel/contractor-estimate-invoice" TargetMode="External"/><Relationship Id="rId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H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3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9.75" hidden="false" customHeight="true" outlineLevel="0" collapsed="false"/>
    <row r="4" customFormat="false" ht="21.75" hidden="false" customHeight="true" outlineLevel="0" collapsed="false">
      <c r="A4" s="4" t="s">
        <v>2</v>
      </c>
      <c r="B4" s="5"/>
      <c r="C4" s="5"/>
      <c r="E4" s="4" t="s">
        <v>3</v>
      </c>
      <c r="F4" s="5"/>
      <c r="G4" s="5"/>
      <c r="H4" s="5"/>
    </row>
    <row r="5" customFormat="false" ht="15" hidden="false" customHeight="true" outlineLevel="0" collapsed="false">
      <c r="A5" s="6" t="s">
        <v>4</v>
      </c>
      <c r="B5" s="7" t="s">
        <v>5</v>
      </c>
      <c r="C5" s="6" t="s">
        <v>6</v>
      </c>
    </row>
    <row r="6" customFormat="false" ht="30" hidden="false" customHeight="true" outlineLevel="0" collapsed="false">
      <c r="A6" s="8" t="s">
        <v>7</v>
      </c>
      <c r="B6" s="9" t="n">
        <f aca="false">Estimate!$F$48</f>
        <v>8328.86</v>
      </c>
      <c r="C6" s="10" t="s">
        <v>8</v>
      </c>
      <c r="E6" s="11"/>
      <c r="F6" s="12" t="s">
        <v>9</v>
      </c>
      <c r="G6" s="12"/>
      <c r="H6" s="12"/>
    </row>
    <row r="7" customFormat="false" ht="30" hidden="false" customHeight="true" outlineLevel="0" collapsed="false">
      <c r="A7" s="8" t="s">
        <v>10</v>
      </c>
      <c r="B7" s="9" t="n">
        <f aca="false">Invoice!$F$48</f>
        <v>8683.96</v>
      </c>
      <c r="C7" s="10" t="s">
        <v>11</v>
      </c>
      <c r="E7" s="13"/>
      <c r="F7" s="12" t="s">
        <v>12</v>
      </c>
      <c r="G7" s="12"/>
      <c r="H7" s="12"/>
    </row>
    <row r="8" customFormat="false" ht="30" hidden="false" customHeight="true" outlineLevel="0" collapsed="false">
      <c r="A8" s="8" t="s">
        <v>13</v>
      </c>
      <c r="B8" s="9" t="n">
        <f aca="false">Invoice!$F$48-Estimate!$F$48</f>
        <v>355.1</v>
      </c>
      <c r="C8" s="10" t="s">
        <v>14</v>
      </c>
      <c r="E8" s="14" t="s">
        <v>15</v>
      </c>
      <c r="F8" s="12" t="s">
        <v>16</v>
      </c>
      <c r="G8" s="12"/>
      <c r="H8" s="12"/>
    </row>
    <row r="9" customFormat="false" ht="30" hidden="false" customHeight="true" outlineLevel="0" collapsed="false">
      <c r="A9" s="8" t="s">
        <v>17</v>
      </c>
      <c r="B9" s="9" t="n">
        <f aca="false">Invoice!$F$51</f>
        <v>5683.96</v>
      </c>
      <c r="C9" s="10" t="s">
        <v>18</v>
      </c>
      <c r="E9" s="15" t="s">
        <v>19</v>
      </c>
      <c r="F9" s="12" t="s">
        <v>20</v>
      </c>
      <c r="G9" s="12"/>
      <c r="H9" s="12"/>
    </row>
    <row r="10" customFormat="false" ht="30" hidden="false" customHeight="true" outlineLevel="0" collapsed="false">
      <c r="A10" s="8" t="s">
        <v>21</v>
      </c>
      <c r="B10" s="16" t="n">
        <f aca="false">Invoice!$F$4</f>
        <v>46338</v>
      </c>
      <c r="C10" s="10" t="s">
        <v>22</v>
      </c>
      <c r="E10" s="17" t="s">
        <v>23</v>
      </c>
      <c r="F10" s="18" t="s">
        <v>24</v>
      </c>
      <c r="G10" s="18"/>
      <c r="H10" s="18"/>
    </row>
    <row r="11" customFormat="false" ht="30" hidden="false" customHeight="true" outlineLevel="0" collapsed="false">
      <c r="A11" s="8" t="s">
        <v>25</v>
      </c>
      <c r="B11" s="9" t="n">
        <f aca="false">SUM(Items!$K$5:$K$29)-SUMPRODUCT(Items!$J$5:$J$29,Items!$E$5:$E$29)</f>
        <v>488.790000000001</v>
      </c>
      <c r="C11" s="10" t="s">
        <v>26</v>
      </c>
      <c r="F11" s="19" t="s">
        <v>27</v>
      </c>
      <c r="G11" s="20" t="n">
        <f aca="false">COUNTIF(Checks!$B$5:$B$11,"Review")</f>
        <v>0</v>
      </c>
      <c r="H11" s="21" t="str">
        <f aca="false">IF(G11=0,"All clear","Open the Checks tab")</f>
        <v>All clear</v>
      </c>
    </row>
    <row r="12" customFormat="false" ht="15" hidden="false" customHeight="true" outlineLevel="0" collapsed="false"/>
    <row r="13" customFormat="false" ht="21.75" hidden="false" customHeight="true" outlineLevel="0" collapsed="false">
      <c r="A13" s="4" t="s">
        <v>28</v>
      </c>
      <c r="B13" s="5"/>
      <c r="C13" s="5"/>
      <c r="E13" s="4" t="s">
        <v>29</v>
      </c>
      <c r="F13" s="5"/>
      <c r="G13" s="5"/>
      <c r="H13" s="5"/>
    </row>
    <row r="14" customFormat="false" ht="15" hidden="false" customHeight="false" outlineLevel="0" collapsed="false">
      <c r="A14" s="6" t="s">
        <v>30</v>
      </c>
      <c r="B14" s="6" t="s">
        <v>31</v>
      </c>
      <c r="E14" s="6" t="s">
        <v>32</v>
      </c>
      <c r="G14" s="7" t="s">
        <v>33</v>
      </c>
    </row>
    <row r="15" customFormat="false" ht="19.5" hidden="false" customHeight="true" outlineLevel="0" collapsed="false">
      <c r="A15" s="22" t="s">
        <v>34</v>
      </c>
      <c r="B15" s="23" t="s">
        <v>35</v>
      </c>
      <c r="C15" s="23"/>
      <c r="E15" s="23" t="str">
        <f aca="false">Details!$D$6</f>
        <v>Labor</v>
      </c>
      <c r="F15" s="23"/>
      <c r="G15" s="24" t="n">
        <f aca="false">IF(E15="","",SUMIFS(Items!$K$5:$K$29,Items!$A$5:$A$29,E15))</f>
        <v>4720</v>
      </c>
    </row>
    <row r="16" customFormat="false" ht="19.5" hidden="false" customHeight="true" outlineLevel="0" collapsed="false">
      <c r="A16" s="22" t="s">
        <v>36</v>
      </c>
      <c r="B16" s="23" t="s">
        <v>37</v>
      </c>
      <c r="C16" s="23"/>
      <c r="E16" s="23" t="str">
        <f aca="false">Details!$D$7</f>
        <v>Materials</v>
      </c>
      <c r="F16" s="23"/>
      <c r="G16" s="24" t="n">
        <f aca="false">IF(E16="","",SUMIFS(Items!$K$5:$K$29,Items!$A$5:$A$29,E16))</f>
        <v>3072.29</v>
      </c>
    </row>
    <row r="17" customFormat="false" ht="19.5" hidden="false" customHeight="true" outlineLevel="0" collapsed="false">
      <c r="A17" s="22" t="s">
        <v>38</v>
      </c>
      <c r="B17" s="23" t="s">
        <v>39</v>
      </c>
      <c r="C17" s="23"/>
      <c r="E17" s="23" t="str">
        <f aca="false">Details!$D$8</f>
        <v>Equipment</v>
      </c>
      <c r="F17" s="23"/>
      <c r="G17" s="24" t="n">
        <f aca="false">IF(E17="","",SUMIFS(Items!$K$5:$K$29,Items!$A$5:$A$29,E17))</f>
        <v>247.5</v>
      </c>
    </row>
    <row r="18" customFormat="false" ht="19.5" hidden="false" customHeight="true" outlineLevel="0" collapsed="false">
      <c r="A18" s="22" t="s">
        <v>40</v>
      </c>
      <c r="B18" s="23" t="s">
        <v>41</v>
      </c>
      <c r="C18" s="23"/>
      <c r="E18" s="23" t="str">
        <f aca="false">Details!$D$9</f>
        <v>Subcontract</v>
      </c>
      <c r="F18" s="23"/>
      <c r="G18" s="24" t="n">
        <f aca="false">IF(E18="","",SUMIFS(Items!$K$5:$K$29,Items!$A$5:$A$29,E18))</f>
        <v>715</v>
      </c>
    </row>
    <row r="19" customFormat="false" ht="19.5" hidden="false" customHeight="true" outlineLevel="0" collapsed="false">
      <c r="A19" s="22" t="s">
        <v>42</v>
      </c>
      <c r="B19" s="23" t="s">
        <v>43</v>
      </c>
      <c r="C19" s="23"/>
      <c r="E19" s="23" t="str">
        <f aca="false">Details!$D$10</f>
        <v>Other</v>
      </c>
      <c r="F19" s="23"/>
      <c r="G19" s="24" t="n">
        <f aca="false">IF(E19="","",SUMIFS(Items!$K$5:$K$29,Items!$A$5:$A$29,E19))</f>
        <v>175</v>
      </c>
    </row>
    <row r="20" customFormat="false" ht="19.5" hidden="false" customHeight="true" outlineLevel="0" collapsed="false">
      <c r="A20" s="22" t="s">
        <v>44</v>
      </c>
      <c r="B20" s="23" t="s">
        <v>45</v>
      </c>
      <c r="C20" s="23"/>
    </row>
  </sheetData>
  <mergeCells count="17">
    <mergeCell ref="A2:H2"/>
    <mergeCell ref="F6:H6"/>
    <mergeCell ref="F7:H7"/>
    <mergeCell ref="F8:H8"/>
    <mergeCell ref="F9:H9"/>
    <mergeCell ref="F10:H10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</mergeCells>
  <hyperlinks>
    <hyperlink ref="F10" r:id="rId1" display="Step-by-step guide: arumsoft.com/resources"/>
    <hyperlink ref="F11" location="'Checks'!A1" display="Checks needing review"/>
    <hyperlink ref="A15" location="'Details'!A1" display="Details"/>
    <hyperlink ref="A16" location="'Items'!A1" display="Items"/>
    <hyperlink ref="A17" location="'Estimate'!A1" display="Estimate"/>
    <hyperlink ref="A18" location="'Invoice'!A1" display="Invoice"/>
    <hyperlink ref="A19" location="'Lists'!A1" display="Lists"/>
    <hyperlink ref="A20" location="'Checks'!A1" display="Checks"/>
  </hyperlink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E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52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12"/>
  </cols>
  <sheetData>
    <row r="1" customFormat="false" ht="33.75" hidden="false" customHeight="true" outlineLevel="0" collapsed="false">
      <c r="A1" s="1" t="s">
        <v>34</v>
      </c>
      <c r="B1" s="2"/>
      <c r="C1" s="2"/>
      <c r="D1" s="2"/>
      <c r="E1" s="2"/>
    </row>
    <row r="2" customFormat="false" ht="21.75" hidden="false" customHeight="true" outlineLevel="0" collapsed="false">
      <c r="A2" s="25" t="s">
        <v>46</v>
      </c>
      <c r="B2" s="26"/>
      <c r="C2" s="26"/>
      <c r="D2" s="26"/>
      <c r="E2" s="26"/>
    </row>
    <row r="3" customFormat="false" ht="9.75" hidden="false" customHeight="true" outlineLevel="0" collapsed="false"/>
    <row r="4" customFormat="false" ht="21.75" hidden="false" customHeight="true" outlineLevel="0" collapsed="false">
      <c r="A4" s="4" t="s">
        <v>47</v>
      </c>
      <c r="B4" s="5"/>
      <c r="D4" s="4" t="s">
        <v>48</v>
      </c>
      <c r="E4" s="5"/>
    </row>
    <row r="5" customFormat="false" ht="19.5" hidden="false" customHeight="true" outlineLevel="0" collapsed="false">
      <c r="A5" s="8" t="s">
        <v>49</v>
      </c>
      <c r="B5" s="27" t="s">
        <v>50</v>
      </c>
      <c r="D5" s="6" t="s">
        <v>51</v>
      </c>
    </row>
    <row r="6" customFormat="false" ht="19.5" hidden="false" customHeight="true" outlineLevel="0" collapsed="false">
      <c r="A6" s="8" t="s">
        <v>52</v>
      </c>
      <c r="B6" s="27" t="s">
        <v>53</v>
      </c>
      <c r="D6" s="28" t="str">
        <f aca="false">IF(Lists!$A$5="","",Lists!$A$5)</f>
        <v>Labor</v>
      </c>
      <c r="E6" s="29" t="n">
        <v>0</v>
      </c>
    </row>
    <row r="7" customFormat="false" ht="19.5" hidden="false" customHeight="true" outlineLevel="0" collapsed="false">
      <c r="A7" s="8" t="s">
        <v>54</v>
      </c>
      <c r="B7" s="27" t="s">
        <v>55</v>
      </c>
      <c r="D7" s="28" t="str">
        <f aca="false">IF(Lists!$A$6="","",Lists!$A$6)</f>
        <v>Materials</v>
      </c>
      <c r="E7" s="29" t="n">
        <v>0.15</v>
      </c>
    </row>
    <row r="8" customFormat="false" ht="19.5" hidden="false" customHeight="true" outlineLevel="0" collapsed="false">
      <c r="A8" s="8" t="s">
        <v>56</v>
      </c>
      <c r="B8" s="27" t="s">
        <v>57</v>
      </c>
      <c r="D8" s="28" t="str">
        <f aca="false">IF(Lists!$A$7="","",Lists!$A$7)</f>
        <v>Equipment</v>
      </c>
      <c r="E8" s="29" t="n">
        <v>0.1</v>
      </c>
    </row>
    <row r="9" customFormat="false" ht="19.5" hidden="false" customHeight="true" outlineLevel="0" collapsed="false">
      <c r="A9" s="8" t="s">
        <v>58</v>
      </c>
      <c r="B9" s="27" t="s">
        <v>59</v>
      </c>
      <c r="D9" s="28" t="str">
        <f aca="false">IF(Lists!$A$8="","",Lists!$A$8)</f>
        <v>Subcontract</v>
      </c>
      <c r="E9" s="29" t="n">
        <v>0.1</v>
      </c>
    </row>
    <row r="10" customFormat="false" ht="19.5" hidden="false" customHeight="true" outlineLevel="0" collapsed="false">
      <c r="A10" s="8" t="s">
        <v>60</v>
      </c>
      <c r="B10" s="27" t="s">
        <v>61</v>
      </c>
      <c r="D10" s="28" t="str">
        <f aca="false">IF(Lists!$A$9="","",Lists!$A$9)</f>
        <v>Other</v>
      </c>
      <c r="E10" s="29" t="n">
        <v>0</v>
      </c>
    </row>
    <row r="12" customFormat="false" ht="21.75" hidden="false" customHeight="true" outlineLevel="0" collapsed="false">
      <c r="A12" s="4" t="s">
        <v>62</v>
      </c>
      <c r="B12" s="5"/>
      <c r="D12" s="30" t="s">
        <v>63</v>
      </c>
    </row>
    <row r="13" customFormat="false" ht="19.5" hidden="false" customHeight="true" outlineLevel="0" collapsed="false">
      <c r="A13" s="8" t="s">
        <v>64</v>
      </c>
      <c r="B13" s="27" t="s">
        <v>65</v>
      </c>
    </row>
    <row r="14" customFormat="false" ht="19.5" hidden="false" customHeight="true" outlineLevel="0" collapsed="false">
      <c r="A14" s="8" t="s">
        <v>52</v>
      </c>
      <c r="B14" s="27" t="s">
        <v>66</v>
      </c>
    </row>
    <row r="15" customFormat="false" ht="19.5" hidden="false" customHeight="true" outlineLevel="0" collapsed="false">
      <c r="A15" s="8" t="s">
        <v>54</v>
      </c>
      <c r="B15" s="27" t="s">
        <v>55</v>
      </c>
    </row>
    <row r="16" customFormat="false" ht="19.5" hidden="false" customHeight="true" outlineLevel="0" collapsed="false">
      <c r="A16" s="8" t="s">
        <v>56</v>
      </c>
      <c r="B16" s="27" t="s">
        <v>67</v>
      </c>
    </row>
    <row r="17" customFormat="false" ht="19.5" hidden="false" customHeight="true" outlineLevel="0" collapsed="false">
      <c r="A17" s="8" t="s">
        <v>58</v>
      </c>
      <c r="B17" s="27" t="s">
        <v>68</v>
      </c>
    </row>
    <row r="19" customFormat="false" ht="21.75" hidden="false" customHeight="true" outlineLevel="0" collapsed="false">
      <c r="A19" s="4" t="s">
        <v>69</v>
      </c>
      <c r="B19" s="5"/>
    </row>
    <row r="20" customFormat="false" ht="19.5" hidden="false" customHeight="true" outlineLevel="0" collapsed="false">
      <c r="A20" s="8" t="s">
        <v>70</v>
      </c>
      <c r="B20" s="27" t="s">
        <v>71</v>
      </c>
    </row>
    <row r="21" customFormat="false" ht="19.5" hidden="false" customHeight="true" outlineLevel="0" collapsed="false">
      <c r="A21" s="8" t="s">
        <v>72</v>
      </c>
      <c r="B21" s="27" t="s">
        <v>73</v>
      </c>
    </row>
    <row r="22" customFormat="false" ht="45" hidden="false" customHeight="true" outlineLevel="0" collapsed="false">
      <c r="A22" s="8" t="s">
        <v>74</v>
      </c>
      <c r="B22" s="31" t="s">
        <v>75</v>
      </c>
    </row>
    <row r="24" customFormat="false" ht="21.75" hidden="false" customHeight="true" outlineLevel="0" collapsed="false">
      <c r="A24" s="4" t="s">
        <v>76</v>
      </c>
      <c r="B24" s="5"/>
    </row>
    <row r="25" customFormat="false" ht="19.5" hidden="false" customHeight="true" outlineLevel="0" collapsed="false">
      <c r="A25" s="8" t="s">
        <v>77</v>
      </c>
      <c r="B25" s="27" t="s">
        <v>78</v>
      </c>
    </row>
    <row r="26" customFormat="false" ht="19.5" hidden="false" customHeight="true" outlineLevel="0" collapsed="false">
      <c r="A26" s="8" t="s">
        <v>79</v>
      </c>
      <c r="B26" s="32" t="n">
        <v>46307</v>
      </c>
    </row>
    <row r="27" customFormat="false" ht="19.5" hidden="false" customHeight="true" outlineLevel="0" collapsed="false">
      <c r="A27" s="8" t="s">
        <v>80</v>
      </c>
      <c r="B27" s="33" t="n">
        <v>30</v>
      </c>
    </row>
    <row r="28" customFormat="false" ht="19.5" hidden="false" customHeight="true" outlineLevel="0" collapsed="false">
      <c r="A28" s="8" t="s">
        <v>81</v>
      </c>
      <c r="B28" s="29" t="n">
        <v>0.3</v>
      </c>
    </row>
    <row r="30" customFormat="false" ht="21.75" hidden="false" customHeight="true" outlineLevel="0" collapsed="false">
      <c r="A30" s="4" t="s">
        <v>82</v>
      </c>
      <c r="B30" s="5"/>
    </row>
    <row r="31" customFormat="false" ht="19.5" hidden="false" customHeight="true" outlineLevel="0" collapsed="false">
      <c r="A31" s="8" t="s">
        <v>83</v>
      </c>
      <c r="B31" s="27" t="s">
        <v>84</v>
      </c>
    </row>
    <row r="32" customFormat="false" ht="19.5" hidden="false" customHeight="true" outlineLevel="0" collapsed="false">
      <c r="A32" s="8" t="s">
        <v>85</v>
      </c>
      <c r="B32" s="33" t="n">
        <v>1042</v>
      </c>
    </row>
    <row r="33" customFormat="false" ht="19.5" hidden="false" customHeight="true" outlineLevel="0" collapsed="false">
      <c r="A33" s="8" t="s">
        <v>86</v>
      </c>
      <c r="B33" s="32" t="n">
        <v>46323</v>
      </c>
    </row>
    <row r="34" customFormat="false" ht="19.5" hidden="false" customHeight="true" outlineLevel="0" collapsed="false">
      <c r="A34" s="8" t="s">
        <v>87</v>
      </c>
      <c r="B34" s="27" t="s">
        <v>88</v>
      </c>
    </row>
    <row r="35" customFormat="false" ht="19.5" hidden="false" customHeight="true" outlineLevel="0" collapsed="false">
      <c r="A35" s="8" t="s">
        <v>89</v>
      </c>
      <c r="B35" s="34" t="n">
        <v>3000</v>
      </c>
    </row>
    <row r="36" customFormat="false" ht="19.5" hidden="false" customHeight="true" outlineLevel="0" collapsed="false">
      <c r="A36" s="8" t="s">
        <v>90</v>
      </c>
      <c r="B36" s="34" t="n">
        <v>0</v>
      </c>
    </row>
    <row r="38" customFormat="false" ht="21.75" hidden="false" customHeight="true" outlineLevel="0" collapsed="false">
      <c r="A38" s="4" t="s">
        <v>91</v>
      </c>
      <c r="B38" s="5"/>
    </row>
    <row r="39" customFormat="false" ht="19.5" hidden="false" customHeight="true" outlineLevel="0" collapsed="false">
      <c r="A39" s="8" t="s">
        <v>92</v>
      </c>
      <c r="B39" s="35" t="n">
        <v>0.06875</v>
      </c>
    </row>
    <row r="40" customFormat="false" ht="19.5" hidden="false" customHeight="true" outlineLevel="0" collapsed="false">
      <c r="A40" s="8" t="s">
        <v>93</v>
      </c>
      <c r="B40" s="36" t="n">
        <v>0.05</v>
      </c>
    </row>
    <row r="42" customFormat="false" ht="21.75" hidden="false" customHeight="true" outlineLevel="0" collapsed="false">
      <c r="A42" s="4" t="s">
        <v>94</v>
      </c>
      <c r="B42" s="5"/>
    </row>
    <row r="43" customFormat="false" ht="45" hidden="false" customHeight="true" outlineLevel="0" collapsed="false">
      <c r="A43" s="8" t="s">
        <v>95</v>
      </c>
      <c r="B43" s="31" t="s">
        <v>96</v>
      </c>
    </row>
    <row r="44" customFormat="false" ht="45" hidden="false" customHeight="true" outlineLevel="0" collapsed="false">
      <c r="A44" s="8" t="s">
        <v>97</v>
      </c>
      <c r="B44" s="31" t="s">
        <v>98</v>
      </c>
    </row>
  </sheetData>
  <dataValidations count="3">
    <dataValidation allowBlank="true" error="Choose a value from the dropdown. You can edit the choices on the Lists sheet." errorStyle="stop" errorTitle="Pick from the list" operator="between" showDropDown="false" showErrorMessage="true" showInputMessage="false" sqref="B34" type="list">
      <formula1>Lists!$D$5:$D$12</formula1>
      <formula2>0</formula2>
    </dataValidation>
    <dataValidation allowBlank="true" error="Enter a percentage, for example 15%." errorStyle="stop" errorTitle="Check this value" operator="between" showDropDown="false" showErrorMessage="true" showInputMessage="false" sqref="E6:E10" type="decimal">
      <formula1>0</formula1>
      <formula2>5</formula2>
    </dataValidation>
    <dataValidation allowBlank="true" error="Enter a percentage from 0% to 100%, for example 6.875%." errorStyle="stop" errorTitle="Check this value" operator="between" showDropDown="false" showErrorMessage="true" showInputMessage="false" sqref="B28 B39:B40" type="decimal">
      <formula1>0</formula1>
      <formula2>1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M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8"/>
    <col collapsed="false" customWidth="true" hidden="false" outlineLevel="0" max="3" min="3" style="0" width="8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10" min="9" style="0" width="10"/>
    <col collapsed="false" customWidth="true" hidden="false" outlineLevel="0" max="11" min="11" style="0" width="14"/>
    <col collapsed="false" customWidth="true" hidden="false" outlineLevel="0" max="12" min="12" style="0" width="9"/>
    <col collapsed="false" customWidth="true" hidden="false" outlineLevel="0" max="13" min="13" style="0" width="26"/>
  </cols>
  <sheetData>
    <row r="1" customFormat="false" ht="33.75" hidden="false" customHeight="true" outlineLevel="0" collapsed="false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1.75" hidden="false" customHeight="true" outlineLevel="0" collapsed="false">
      <c r="A2" s="25" t="s">
        <v>99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customFormat="false" ht="9.75" hidden="false" customHeight="true" outlineLevel="0" collapsed="false"/>
    <row r="4" customFormat="false" ht="30" hidden="false" customHeight="true" outlineLevel="0" collapsed="false">
      <c r="A4" s="37" t="s">
        <v>32</v>
      </c>
      <c r="B4" s="37" t="s">
        <v>100</v>
      </c>
      <c r="C4" s="37" t="s">
        <v>101</v>
      </c>
      <c r="D4" s="38" t="s">
        <v>102</v>
      </c>
      <c r="E4" s="38" t="s">
        <v>103</v>
      </c>
      <c r="F4" s="38" t="s">
        <v>104</v>
      </c>
      <c r="G4" s="38" t="s">
        <v>105</v>
      </c>
      <c r="H4" s="38" t="s">
        <v>106</v>
      </c>
      <c r="I4" s="38" t="s">
        <v>107</v>
      </c>
      <c r="J4" s="38" t="s">
        <v>108</v>
      </c>
      <c r="K4" s="38" t="s">
        <v>109</v>
      </c>
      <c r="L4" s="37" t="s">
        <v>110</v>
      </c>
      <c r="M4" s="37" t="s">
        <v>6</v>
      </c>
    </row>
    <row r="5" customFormat="false" ht="18.75" hidden="false" customHeight="true" outlineLevel="0" collapsed="false">
      <c r="A5" s="27" t="s">
        <v>111</v>
      </c>
      <c r="B5" s="27" t="s">
        <v>112</v>
      </c>
      <c r="C5" s="27" t="s">
        <v>113</v>
      </c>
      <c r="D5" s="39" t="n">
        <v>12</v>
      </c>
      <c r="E5" s="34" t="n">
        <v>65</v>
      </c>
      <c r="F5" s="40" t="n">
        <f aca="false">IF(B5="","",IFERROR(INDEX(Details!$E$6:$E$10,MATCH(A5,Details!$D$6:$D$10,0)),0))</f>
        <v>0</v>
      </c>
      <c r="G5" s="41" t="n">
        <f aca="false">IF(B5="","",ROUND(N(E5)*(1+F5),2))</f>
        <v>65</v>
      </c>
      <c r="H5" s="41" t="n">
        <f aca="false">IF(B5="","",ROUND(N(D5)*G5,2))</f>
        <v>780</v>
      </c>
      <c r="I5" s="39" t="n">
        <v>14</v>
      </c>
      <c r="J5" s="42" t="n">
        <f aca="false">IF(B5="","",IF(I5="",N(D5),I5))</f>
        <v>14</v>
      </c>
      <c r="K5" s="41" t="n">
        <f aca="false">IF(B5="","",ROUND(J5*G5,2))</f>
        <v>910</v>
      </c>
      <c r="L5" s="43" t="s">
        <v>114</v>
      </c>
      <c r="M5" s="44"/>
    </row>
    <row r="6" customFormat="false" ht="18.75" hidden="false" customHeight="true" outlineLevel="0" collapsed="false">
      <c r="A6" s="27" t="s">
        <v>111</v>
      </c>
      <c r="B6" s="27" t="s">
        <v>115</v>
      </c>
      <c r="C6" s="27" t="s">
        <v>113</v>
      </c>
      <c r="D6" s="39" t="n">
        <v>16</v>
      </c>
      <c r="E6" s="34" t="n">
        <v>85</v>
      </c>
      <c r="F6" s="40" t="n">
        <f aca="false">IF(B6="","",IFERROR(INDEX(Details!$E$6:$E$10,MATCH(A6,Details!$D$6:$D$10,0)),0))</f>
        <v>0</v>
      </c>
      <c r="G6" s="41" t="n">
        <f aca="false">IF(B6="","",ROUND(N(E6)*(1+F6),2))</f>
        <v>85</v>
      </c>
      <c r="H6" s="41" t="n">
        <f aca="false">IF(B6="","",ROUND(N(D6)*G6,2))</f>
        <v>1360</v>
      </c>
      <c r="I6" s="39" t="n">
        <v>18</v>
      </c>
      <c r="J6" s="42" t="n">
        <f aca="false">IF(B6="","",IF(I6="",N(D6),I6))</f>
        <v>18</v>
      </c>
      <c r="K6" s="41" t="n">
        <f aca="false">IF(B6="","",ROUND(J6*G6,2))</f>
        <v>1530</v>
      </c>
      <c r="L6" s="43" t="s">
        <v>114</v>
      </c>
      <c r="M6" s="44"/>
    </row>
    <row r="7" customFormat="false" ht="18.75" hidden="false" customHeight="true" outlineLevel="0" collapsed="false">
      <c r="A7" s="27" t="s">
        <v>111</v>
      </c>
      <c r="B7" s="27" t="s">
        <v>116</v>
      </c>
      <c r="C7" s="27" t="s">
        <v>113</v>
      </c>
      <c r="D7" s="39" t="n">
        <v>24</v>
      </c>
      <c r="E7" s="34" t="n">
        <v>70</v>
      </c>
      <c r="F7" s="40" t="n">
        <f aca="false">IF(B7="","",IFERROR(INDEX(Details!$E$6:$E$10,MATCH(A7,Details!$D$6:$D$10,0)),0))</f>
        <v>0</v>
      </c>
      <c r="G7" s="41" t="n">
        <f aca="false">IF(B7="","",ROUND(N(E7)*(1+F7),2))</f>
        <v>70</v>
      </c>
      <c r="H7" s="41" t="n">
        <f aca="false">IF(B7="","",ROUND(N(D7)*G7,2))</f>
        <v>1680</v>
      </c>
      <c r="I7" s="39"/>
      <c r="J7" s="42" t="n">
        <f aca="false">IF(B7="","",IF(I7="",N(D7),I7))</f>
        <v>24</v>
      </c>
      <c r="K7" s="41" t="n">
        <f aca="false">IF(B7="","",ROUND(J7*G7,2))</f>
        <v>1680</v>
      </c>
      <c r="L7" s="43" t="s">
        <v>114</v>
      </c>
      <c r="M7" s="44"/>
    </row>
    <row r="8" customFormat="false" ht="18.75" hidden="false" customHeight="true" outlineLevel="0" collapsed="false">
      <c r="A8" s="27" t="s">
        <v>111</v>
      </c>
      <c r="B8" s="27" t="s">
        <v>117</v>
      </c>
      <c r="C8" s="27" t="s">
        <v>113</v>
      </c>
      <c r="D8" s="39" t="n">
        <v>10</v>
      </c>
      <c r="E8" s="34" t="n">
        <v>60</v>
      </c>
      <c r="F8" s="40" t="n">
        <f aca="false">IF(B8="","",IFERROR(INDEX(Details!$E$6:$E$10,MATCH(A8,Details!$D$6:$D$10,0)),0))</f>
        <v>0</v>
      </c>
      <c r="G8" s="41" t="n">
        <f aca="false">IF(B8="","",ROUND(N(E8)*(1+F8),2))</f>
        <v>60</v>
      </c>
      <c r="H8" s="41" t="n">
        <f aca="false">IF(B8="","",ROUND(N(D8)*G8,2))</f>
        <v>600</v>
      </c>
      <c r="I8" s="39"/>
      <c r="J8" s="42" t="n">
        <f aca="false">IF(B8="","",IF(I8="",N(D8),I8))</f>
        <v>10</v>
      </c>
      <c r="K8" s="41" t="n">
        <f aca="false">IF(B8="","",ROUND(J8*G8,2))</f>
        <v>600</v>
      </c>
      <c r="L8" s="43" t="s">
        <v>114</v>
      </c>
      <c r="M8" s="44"/>
    </row>
    <row r="9" customFormat="false" ht="18.75" hidden="false" customHeight="true" outlineLevel="0" collapsed="false">
      <c r="A9" s="27" t="s">
        <v>118</v>
      </c>
      <c r="B9" s="27" t="s">
        <v>119</v>
      </c>
      <c r="C9" s="27" t="s">
        <v>120</v>
      </c>
      <c r="D9" s="39" t="n">
        <v>120</v>
      </c>
      <c r="E9" s="34" t="n">
        <v>7.5</v>
      </c>
      <c r="F9" s="40" t="n">
        <f aca="false">IF(B9="","",IFERROR(INDEX(Details!$E$6:$E$10,MATCH(A9,Details!$D$6:$D$10,0)),0))</f>
        <v>0.15</v>
      </c>
      <c r="G9" s="41" t="n">
        <f aca="false">IF(B9="","",ROUND(N(E9)*(1+F9),2))</f>
        <v>8.63</v>
      </c>
      <c r="H9" s="41" t="n">
        <f aca="false">IF(B9="","",ROUND(N(D9)*G9,2))</f>
        <v>1035.6</v>
      </c>
      <c r="I9" s="39" t="n">
        <v>128</v>
      </c>
      <c r="J9" s="42" t="n">
        <f aca="false">IF(B9="","",IF(I9="",N(D9),I9))</f>
        <v>128</v>
      </c>
      <c r="K9" s="41" t="n">
        <f aca="false">IF(B9="","",ROUND(J9*G9,2))</f>
        <v>1104.64</v>
      </c>
      <c r="L9" s="43" t="s">
        <v>121</v>
      </c>
      <c r="M9" s="44"/>
    </row>
    <row r="10" customFormat="false" ht="18.75" hidden="false" customHeight="true" outlineLevel="0" collapsed="false">
      <c r="A10" s="27" t="s">
        <v>118</v>
      </c>
      <c r="B10" s="27" t="s">
        <v>122</v>
      </c>
      <c r="C10" s="27" t="s">
        <v>123</v>
      </c>
      <c r="D10" s="39" t="n">
        <v>1</v>
      </c>
      <c r="E10" s="34" t="n">
        <v>680</v>
      </c>
      <c r="F10" s="40" t="n">
        <f aca="false">IF(B10="","",IFERROR(INDEX(Details!$E$6:$E$10,MATCH(A10,Details!$D$6:$D$10,0)),0))</f>
        <v>0.15</v>
      </c>
      <c r="G10" s="41" t="n">
        <f aca="false">IF(B10="","",ROUND(N(E10)*(1+F10),2))</f>
        <v>782</v>
      </c>
      <c r="H10" s="41" t="n">
        <f aca="false">IF(B10="","",ROUND(N(D10)*G10,2))</f>
        <v>782</v>
      </c>
      <c r="I10" s="39"/>
      <c r="J10" s="42" t="n">
        <f aca="false">IF(B10="","",IF(I10="",N(D10),I10))</f>
        <v>1</v>
      </c>
      <c r="K10" s="41" t="n">
        <f aca="false">IF(B10="","",ROUND(J10*G10,2))</f>
        <v>782</v>
      </c>
      <c r="L10" s="43" t="s">
        <v>121</v>
      </c>
      <c r="M10" s="44"/>
    </row>
    <row r="11" customFormat="false" ht="18.75" hidden="false" customHeight="true" outlineLevel="0" collapsed="false">
      <c r="A11" s="27" t="s">
        <v>118</v>
      </c>
      <c r="B11" s="27" t="s">
        <v>124</v>
      </c>
      <c r="C11" s="27" t="s">
        <v>123</v>
      </c>
      <c r="D11" s="39" t="n">
        <v>1</v>
      </c>
      <c r="E11" s="34" t="n">
        <v>540</v>
      </c>
      <c r="F11" s="40" t="n">
        <f aca="false">IF(B11="","",IFERROR(INDEX(Details!$E$6:$E$10,MATCH(A11,Details!$D$6:$D$10,0)),0))</f>
        <v>0.15</v>
      </c>
      <c r="G11" s="41" t="n">
        <f aca="false">IF(B11="","",ROUND(N(E11)*(1+F11),2))</f>
        <v>621</v>
      </c>
      <c r="H11" s="41" t="n">
        <f aca="false">IF(B11="","",ROUND(N(D11)*G11,2))</f>
        <v>621</v>
      </c>
      <c r="I11" s="39"/>
      <c r="J11" s="42" t="n">
        <f aca="false">IF(B11="","",IF(I11="",N(D11),I11))</f>
        <v>1</v>
      </c>
      <c r="K11" s="41" t="n">
        <f aca="false">IF(B11="","",ROUND(J11*G11,2))</f>
        <v>621</v>
      </c>
      <c r="L11" s="43" t="s">
        <v>121</v>
      </c>
      <c r="M11" s="44"/>
    </row>
    <row r="12" customFormat="false" ht="18.75" hidden="false" customHeight="true" outlineLevel="0" collapsed="false">
      <c r="A12" s="27" t="s">
        <v>118</v>
      </c>
      <c r="B12" s="27" t="s">
        <v>125</v>
      </c>
      <c r="C12" s="27" t="s">
        <v>123</v>
      </c>
      <c r="D12" s="39" t="n">
        <v>1</v>
      </c>
      <c r="E12" s="34" t="n">
        <v>260</v>
      </c>
      <c r="F12" s="40" t="n">
        <f aca="false">IF(B12="","",IFERROR(INDEX(Details!$E$6:$E$10,MATCH(A12,Details!$D$6:$D$10,0)),0))</f>
        <v>0.15</v>
      </c>
      <c r="G12" s="41" t="n">
        <f aca="false">IF(B12="","",ROUND(N(E12)*(1+F12),2))</f>
        <v>299</v>
      </c>
      <c r="H12" s="41" t="n">
        <f aca="false">IF(B12="","",ROUND(N(D12)*G12,2))</f>
        <v>299</v>
      </c>
      <c r="I12" s="39"/>
      <c r="J12" s="42" t="n">
        <f aca="false">IF(B12="","",IF(I12="",N(D12),I12))</f>
        <v>1</v>
      </c>
      <c r="K12" s="41" t="n">
        <f aca="false">IF(B12="","",ROUND(J12*G12,2))</f>
        <v>299</v>
      </c>
      <c r="L12" s="43" t="s">
        <v>121</v>
      </c>
      <c r="M12" s="44"/>
    </row>
    <row r="13" customFormat="false" ht="18.75" hidden="false" customHeight="true" outlineLevel="0" collapsed="false">
      <c r="A13" s="27" t="s">
        <v>118</v>
      </c>
      <c r="B13" s="27" t="s">
        <v>126</v>
      </c>
      <c r="C13" s="27" t="s">
        <v>120</v>
      </c>
      <c r="D13" s="39" t="n">
        <v>55</v>
      </c>
      <c r="E13" s="34" t="n">
        <v>4.2</v>
      </c>
      <c r="F13" s="40" t="n">
        <f aca="false">IF(B13="","",IFERROR(INDEX(Details!$E$6:$E$10,MATCH(A13,Details!$D$6:$D$10,0)),0))</f>
        <v>0.15</v>
      </c>
      <c r="G13" s="41" t="n">
        <f aca="false">IF(B13="","",ROUND(N(E13)*(1+F13),2))</f>
        <v>4.83</v>
      </c>
      <c r="H13" s="41" t="n">
        <f aca="false">IF(B13="","",ROUND(N(D13)*G13,2))</f>
        <v>265.65</v>
      </c>
      <c r="I13" s="39"/>
      <c r="J13" s="42" t="n">
        <f aca="false">IF(B13="","",IF(I13="",N(D13),I13))</f>
        <v>55</v>
      </c>
      <c r="K13" s="41" t="n">
        <f aca="false">IF(B13="","",ROUND(J13*G13,2))</f>
        <v>265.65</v>
      </c>
      <c r="L13" s="43" t="s">
        <v>121</v>
      </c>
      <c r="M13" s="44"/>
    </row>
    <row r="14" customFormat="false" ht="18.75" hidden="false" customHeight="true" outlineLevel="0" collapsed="false">
      <c r="A14" s="27" t="s">
        <v>127</v>
      </c>
      <c r="B14" s="27" t="s">
        <v>128</v>
      </c>
      <c r="C14" s="27" t="s">
        <v>129</v>
      </c>
      <c r="D14" s="39" t="n">
        <v>5</v>
      </c>
      <c r="E14" s="34" t="n">
        <v>45</v>
      </c>
      <c r="F14" s="40" t="n">
        <f aca="false">IF(B14="","",IFERROR(INDEX(Details!$E$6:$E$10,MATCH(A14,Details!$D$6:$D$10,0)),0))</f>
        <v>0.1</v>
      </c>
      <c r="G14" s="41" t="n">
        <f aca="false">IF(B14="","",ROUND(N(E14)*(1+F14),2))</f>
        <v>49.5</v>
      </c>
      <c r="H14" s="41" t="n">
        <f aca="false">IF(B14="","",ROUND(N(D14)*G14,2))</f>
        <v>247.5</v>
      </c>
      <c r="I14" s="39"/>
      <c r="J14" s="42" t="n">
        <f aca="false">IF(B14="","",IF(I14="",N(D14),I14))</f>
        <v>5</v>
      </c>
      <c r="K14" s="41" t="n">
        <f aca="false">IF(B14="","",ROUND(J14*G14,2))</f>
        <v>247.5</v>
      </c>
      <c r="L14" s="43" t="s">
        <v>114</v>
      </c>
      <c r="M14" s="44"/>
    </row>
    <row r="15" customFormat="false" ht="18.75" hidden="false" customHeight="true" outlineLevel="0" collapsed="false">
      <c r="A15" s="27" t="s">
        <v>130</v>
      </c>
      <c r="B15" s="27" t="s">
        <v>131</v>
      </c>
      <c r="C15" s="27" t="s">
        <v>132</v>
      </c>
      <c r="D15" s="39" t="n">
        <v>1</v>
      </c>
      <c r="E15" s="34" t="n">
        <v>650</v>
      </c>
      <c r="F15" s="40" t="n">
        <f aca="false">IF(B15="","",IFERROR(INDEX(Details!$E$6:$E$10,MATCH(A15,Details!$D$6:$D$10,0)),0))</f>
        <v>0.1</v>
      </c>
      <c r="G15" s="41" t="n">
        <f aca="false">IF(B15="","",ROUND(N(E15)*(1+F15),2))</f>
        <v>715</v>
      </c>
      <c r="H15" s="41" t="n">
        <f aca="false">IF(B15="","",ROUND(N(D15)*G15,2))</f>
        <v>715</v>
      </c>
      <c r="I15" s="39"/>
      <c r="J15" s="42" t="n">
        <f aca="false">IF(B15="","",IF(I15="",N(D15),I15))</f>
        <v>1</v>
      </c>
      <c r="K15" s="41" t="n">
        <f aca="false">IF(B15="","",ROUND(J15*G15,2))</f>
        <v>715</v>
      </c>
      <c r="L15" s="43" t="s">
        <v>114</v>
      </c>
      <c r="M15" s="44"/>
    </row>
    <row r="16" customFormat="false" ht="18.75" hidden="false" customHeight="true" outlineLevel="0" collapsed="false">
      <c r="A16" s="27" t="s">
        <v>133</v>
      </c>
      <c r="B16" s="27" t="s">
        <v>134</v>
      </c>
      <c r="C16" s="27" t="s">
        <v>123</v>
      </c>
      <c r="D16" s="39" t="n">
        <v>1</v>
      </c>
      <c r="E16" s="34" t="n">
        <v>175</v>
      </c>
      <c r="F16" s="40" t="n">
        <f aca="false">IF(B16="","",IFERROR(INDEX(Details!$E$6:$E$10,MATCH(A16,Details!$D$6:$D$10,0)),0))</f>
        <v>0</v>
      </c>
      <c r="G16" s="41" t="n">
        <f aca="false">IF(B16="","",ROUND(N(E16)*(1+F16),2))</f>
        <v>175</v>
      </c>
      <c r="H16" s="41" t="n">
        <f aca="false">IF(B16="","",ROUND(N(D16)*G16,2))</f>
        <v>175</v>
      </c>
      <c r="I16" s="39"/>
      <c r="J16" s="42" t="n">
        <f aca="false">IF(B16="","",IF(I16="",N(D16),I16))</f>
        <v>1</v>
      </c>
      <c r="K16" s="41" t="n">
        <f aca="false">IF(B16="","",ROUND(J16*G16,2))</f>
        <v>175</v>
      </c>
      <c r="L16" s="43" t="s">
        <v>114</v>
      </c>
      <c r="M16" s="44"/>
    </row>
    <row r="17" customFormat="false" ht="18.75" hidden="false" customHeight="true" outlineLevel="0" collapsed="false">
      <c r="A17" s="27"/>
      <c r="B17" s="27"/>
      <c r="C17" s="27"/>
      <c r="D17" s="39"/>
      <c r="E17" s="34"/>
      <c r="F17" s="40" t="str">
        <f aca="false">IF(B17="","",IFERROR(INDEX(Details!$E$6:$E$10,MATCH(A17,Details!$D$6:$D$10,0)),0))</f>
        <v/>
      </c>
      <c r="G17" s="41" t="str">
        <f aca="false">IF(B17="","",ROUND(N(E17)*(1+F17),2))</f>
        <v/>
      </c>
      <c r="H17" s="41" t="str">
        <f aca="false">IF(B17="","",ROUND(N(D17)*G17,2))</f>
        <v/>
      </c>
      <c r="I17" s="39"/>
      <c r="J17" s="42" t="str">
        <f aca="false">IF(B17="","",IF(I17="",N(D17),I17))</f>
        <v/>
      </c>
      <c r="K17" s="41" t="str">
        <f aca="false">IF(B17="","",ROUND(J17*G17,2))</f>
        <v/>
      </c>
      <c r="L17" s="43"/>
      <c r="M17" s="44"/>
    </row>
    <row r="18" customFormat="false" ht="18.75" hidden="false" customHeight="true" outlineLevel="0" collapsed="false">
      <c r="A18" s="27"/>
      <c r="B18" s="27"/>
      <c r="C18" s="27"/>
      <c r="D18" s="39"/>
      <c r="E18" s="34"/>
      <c r="F18" s="40" t="str">
        <f aca="false">IF(B18="","",IFERROR(INDEX(Details!$E$6:$E$10,MATCH(A18,Details!$D$6:$D$10,0)),0))</f>
        <v/>
      </c>
      <c r="G18" s="41" t="str">
        <f aca="false">IF(B18="","",ROUND(N(E18)*(1+F18),2))</f>
        <v/>
      </c>
      <c r="H18" s="41" t="str">
        <f aca="false">IF(B18="","",ROUND(N(D18)*G18,2))</f>
        <v/>
      </c>
      <c r="I18" s="39"/>
      <c r="J18" s="42" t="str">
        <f aca="false">IF(B18="","",IF(I18="",N(D18),I18))</f>
        <v/>
      </c>
      <c r="K18" s="41" t="str">
        <f aca="false">IF(B18="","",ROUND(J18*G18,2))</f>
        <v/>
      </c>
      <c r="L18" s="43"/>
      <c r="M18" s="44"/>
    </row>
    <row r="19" customFormat="false" ht="18.75" hidden="false" customHeight="true" outlineLevel="0" collapsed="false">
      <c r="A19" s="27"/>
      <c r="B19" s="27"/>
      <c r="C19" s="27"/>
      <c r="D19" s="39"/>
      <c r="E19" s="34"/>
      <c r="F19" s="40" t="str">
        <f aca="false">IF(B19="","",IFERROR(INDEX(Details!$E$6:$E$10,MATCH(A19,Details!$D$6:$D$10,0)),0))</f>
        <v/>
      </c>
      <c r="G19" s="41" t="str">
        <f aca="false">IF(B19="","",ROUND(N(E19)*(1+F19),2))</f>
        <v/>
      </c>
      <c r="H19" s="41" t="str">
        <f aca="false">IF(B19="","",ROUND(N(D19)*G19,2))</f>
        <v/>
      </c>
      <c r="I19" s="39"/>
      <c r="J19" s="42" t="str">
        <f aca="false">IF(B19="","",IF(I19="",N(D19),I19))</f>
        <v/>
      </c>
      <c r="K19" s="41" t="str">
        <f aca="false">IF(B19="","",ROUND(J19*G19,2))</f>
        <v/>
      </c>
      <c r="L19" s="43"/>
      <c r="M19" s="44"/>
    </row>
    <row r="20" customFormat="false" ht="18.75" hidden="false" customHeight="true" outlineLevel="0" collapsed="false">
      <c r="A20" s="27"/>
      <c r="B20" s="27"/>
      <c r="C20" s="27"/>
      <c r="D20" s="39"/>
      <c r="E20" s="34"/>
      <c r="F20" s="40" t="str">
        <f aca="false">IF(B20="","",IFERROR(INDEX(Details!$E$6:$E$10,MATCH(A20,Details!$D$6:$D$10,0)),0))</f>
        <v/>
      </c>
      <c r="G20" s="41" t="str">
        <f aca="false">IF(B20="","",ROUND(N(E20)*(1+F20),2))</f>
        <v/>
      </c>
      <c r="H20" s="41" t="str">
        <f aca="false">IF(B20="","",ROUND(N(D20)*G20,2))</f>
        <v/>
      </c>
      <c r="I20" s="39"/>
      <c r="J20" s="42" t="str">
        <f aca="false">IF(B20="","",IF(I20="",N(D20),I20))</f>
        <v/>
      </c>
      <c r="K20" s="41" t="str">
        <f aca="false">IF(B20="","",ROUND(J20*G20,2))</f>
        <v/>
      </c>
      <c r="L20" s="43"/>
      <c r="M20" s="44"/>
    </row>
    <row r="21" customFormat="false" ht="18.75" hidden="false" customHeight="true" outlineLevel="0" collapsed="false">
      <c r="A21" s="27"/>
      <c r="B21" s="27"/>
      <c r="C21" s="27"/>
      <c r="D21" s="39"/>
      <c r="E21" s="34"/>
      <c r="F21" s="40" t="str">
        <f aca="false">IF(B21="","",IFERROR(INDEX(Details!$E$6:$E$10,MATCH(A21,Details!$D$6:$D$10,0)),0))</f>
        <v/>
      </c>
      <c r="G21" s="41" t="str">
        <f aca="false">IF(B21="","",ROUND(N(E21)*(1+F21),2))</f>
        <v/>
      </c>
      <c r="H21" s="41" t="str">
        <f aca="false">IF(B21="","",ROUND(N(D21)*G21,2))</f>
        <v/>
      </c>
      <c r="I21" s="39"/>
      <c r="J21" s="42" t="str">
        <f aca="false">IF(B21="","",IF(I21="",N(D21),I21))</f>
        <v/>
      </c>
      <c r="K21" s="41" t="str">
        <f aca="false">IF(B21="","",ROUND(J21*G21,2))</f>
        <v/>
      </c>
      <c r="L21" s="43"/>
      <c r="M21" s="44"/>
    </row>
    <row r="22" customFormat="false" ht="18.75" hidden="false" customHeight="true" outlineLevel="0" collapsed="false">
      <c r="A22" s="27"/>
      <c r="B22" s="27"/>
      <c r="C22" s="27"/>
      <c r="D22" s="39"/>
      <c r="E22" s="34"/>
      <c r="F22" s="40" t="str">
        <f aca="false">IF(B22="","",IFERROR(INDEX(Details!$E$6:$E$10,MATCH(A22,Details!$D$6:$D$10,0)),0))</f>
        <v/>
      </c>
      <c r="G22" s="41" t="str">
        <f aca="false">IF(B22="","",ROUND(N(E22)*(1+F22),2))</f>
        <v/>
      </c>
      <c r="H22" s="41" t="str">
        <f aca="false">IF(B22="","",ROUND(N(D22)*G22,2))</f>
        <v/>
      </c>
      <c r="I22" s="39"/>
      <c r="J22" s="42" t="str">
        <f aca="false">IF(B22="","",IF(I22="",N(D22),I22))</f>
        <v/>
      </c>
      <c r="K22" s="41" t="str">
        <f aca="false">IF(B22="","",ROUND(J22*G22,2))</f>
        <v/>
      </c>
      <c r="L22" s="43"/>
      <c r="M22" s="44"/>
    </row>
    <row r="23" customFormat="false" ht="18.75" hidden="false" customHeight="true" outlineLevel="0" collapsed="false">
      <c r="A23" s="27"/>
      <c r="B23" s="27"/>
      <c r="C23" s="27"/>
      <c r="D23" s="39"/>
      <c r="E23" s="34"/>
      <c r="F23" s="40" t="str">
        <f aca="false">IF(B23="","",IFERROR(INDEX(Details!$E$6:$E$10,MATCH(A23,Details!$D$6:$D$10,0)),0))</f>
        <v/>
      </c>
      <c r="G23" s="41" t="str">
        <f aca="false">IF(B23="","",ROUND(N(E23)*(1+F23),2))</f>
        <v/>
      </c>
      <c r="H23" s="41" t="str">
        <f aca="false">IF(B23="","",ROUND(N(D23)*G23,2))</f>
        <v/>
      </c>
      <c r="I23" s="39"/>
      <c r="J23" s="42" t="str">
        <f aca="false">IF(B23="","",IF(I23="",N(D23),I23))</f>
        <v/>
      </c>
      <c r="K23" s="41" t="str">
        <f aca="false">IF(B23="","",ROUND(J23*G23,2))</f>
        <v/>
      </c>
      <c r="L23" s="43"/>
      <c r="M23" s="44"/>
    </row>
    <row r="24" customFormat="false" ht="18.75" hidden="false" customHeight="true" outlineLevel="0" collapsed="false">
      <c r="A24" s="27"/>
      <c r="B24" s="27"/>
      <c r="C24" s="27"/>
      <c r="D24" s="39"/>
      <c r="E24" s="34"/>
      <c r="F24" s="40" t="str">
        <f aca="false">IF(B24="","",IFERROR(INDEX(Details!$E$6:$E$10,MATCH(A24,Details!$D$6:$D$10,0)),0))</f>
        <v/>
      </c>
      <c r="G24" s="41" t="str">
        <f aca="false">IF(B24="","",ROUND(N(E24)*(1+F24),2))</f>
        <v/>
      </c>
      <c r="H24" s="41" t="str">
        <f aca="false">IF(B24="","",ROUND(N(D24)*G24,2))</f>
        <v/>
      </c>
      <c r="I24" s="39"/>
      <c r="J24" s="42" t="str">
        <f aca="false">IF(B24="","",IF(I24="",N(D24),I24))</f>
        <v/>
      </c>
      <c r="K24" s="41" t="str">
        <f aca="false">IF(B24="","",ROUND(J24*G24,2))</f>
        <v/>
      </c>
      <c r="L24" s="43"/>
      <c r="M24" s="44"/>
    </row>
    <row r="25" customFormat="false" ht="18.75" hidden="false" customHeight="true" outlineLevel="0" collapsed="false">
      <c r="A25" s="27"/>
      <c r="B25" s="27"/>
      <c r="C25" s="27"/>
      <c r="D25" s="39"/>
      <c r="E25" s="34"/>
      <c r="F25" s="40" t="str">
        <f aca="false">IF(B25="","",IFERROR(INDEX(Details!$E$6:$E$10,MATCH(A25,Details!$D$6:$D$10,0)),0))</f>
        <v/>
      </c>
      <c r="G25" s="41" t="str">
        <f aca="false">IF(B25="","",ROUND(N(E25)*(1+F25),2))</f>
        <v/>
      </c>
      <c r="H25" s="41" t="str">
        <f aca="false">IF(B25="","",ROUND(N(D25)*G25,2))</f>
        <v/>
      </c>
      <c r="I25" s="39"/>
      <c r="J25" s="42" t="str">
        <f aca="false">IF(B25="","",IF(I25="",N(D25),I25))</f>
        <v/>
      </c>
      <c r="K25" s="41" t="str">
        <f aca="false">IF(B25="","",ROUND(J25*G25,2))</f>
        <v/>
      </c>
      <c r="L25" s="43"/>
      <c r="M25" s="44"/>
    </row>
    <row r="26" customFormat="false" ht="18.75" hidden="false" customHeight="true" outlineLevel="0" collapsed="false">
      <c r="A26" s="27"/>
      <c r="B26" s="27"/>
      <c r="C26" s="27"/>
      <c r="D26" s="39"/>
      <c r="E26" s="34"/>
      <c r="F26" s="40" t="str">
        <f aca="false">IF(B26="","",IFERROR(INDEX(Details!$E$6:$E$10,MATCH(A26,Details!$D$6:$D$10,0)),0))</f>
        <v/>
      </c>
      <c r="G26" s="41" t="str">
        <f aca="false">IF(B26="","",ROUND(N(E26)*(1+F26),2))</f>
        <v/>
      </c>
      <c r="H26" s="41" t="str">
        <f aca="false">IF(B26="","",ROUND(N(D26)*G26,2))</f>
        <v/>
      </c>
      <c r="I26" s="39"/>
      <c r="J26" s="42" t="str">
        <f aca="false">IF(B26="","",IF(I26="",N(D26),I26))</f>
        <v/>
      </c>
      <c r="K26" s="41" t="str">
        <f aca="false">IF(B26="","",ROUND(J26*G26,2))</f>
        <v/>
      </c>
      <c r="L26" s="43"/>
      <c r="M26" s="44"/>
    </row>
    <row r="27" customFormat="false" ht="18.75" hidden="false" customHeight="true" outlineLevel="0" collapsed="false">
      <c r="A27" s="27"/>
      <c r="B27" s="27"/>
      <c r="C27" s="27"/>
      <c r="D27" s="39"/>
      <c r="E27" s="34"/>
      <c r="F27" s="40" t="str">
        <f aca="false">IF(B27="","",IFERROR(INDEX(Details!$E$6:$E$10,MATCH(A27,Details!$D$6:$D$10,0)),0))</f>
        <v/>
      </c>
      <c r="G27" s="41" t="str">
        <f aca="false">IF(B27="","",ROUND(N(E27)*(1+F27),2))</f>
        <v/>
      </c>
      <c r="H27" s="41" t="str">
        <f aca="false">IF(B27="","",ROUND(N(D27)*G27,2))</f>
        <v/>
      </c>
      <c r="I27" s="39"/>
      <c r="J27" s="42" t="str">
        <f aca="false">IF(B27="","",IF(I27="",N(D27),I27))</f>
        <v/>
      </c>
      <c r="K27" s="41" t="str">
        <f aca="false">IF(B27="","",ROUND(J27*G27,2))</f>
        <v/>
      </c>
      <c r="L27" s="43"/>
      <c r="M27" s="44"/>
    </row>
    <row r="28" customFormat="false" ht="18.75" hidden="false" customHeight="true" outlineLevel="0" collapsed="false">
      <c r="A28" s="27"/>
      <c r="B28" s="27"/>
      <c r="C28" s="27"/>
      <c r="D28" s="39"/>
      <c r="E28" s="34"/>
      <c r="F28" s="40" t="str">
        <f aca="false">IF(B28="","",IFERROR(INDEX(Details!$E$6:$E$10,MATCH(A28,Details!$D$6:$D$10,0)),0))</f>
        <v/>
      </c>
      <c r="G28" s="41" t="str">
        <f aca="false">IF(B28="","",ROUND(N(E28)*(1+F28),2))</f>
        <v/>
      </c>
      <c r="H28" s="41" t="str">
        <f aca="false">IF(B28="","",ROUND(N(D28)*G28,2))</f>
        <v/>
      </c>
      <c r="I28" s="39"/>
      <c r="J28" s="42" t="str">
        <f aca="false">IF(B28="","",IF(I28="",N(D28),I28))</f>
        <v/>
      </c>
      <c r="K28" s="41" t="str">
        <f aca="false">IF(B28="","",ROUND(J28*G28,2))</f>
        <v/>
      </c>
      <c r="L28" s="43"/>
      <c r="M28" s="44"/>
    </row>
    <row r="29" customFormat="false" ht="18.75" hidden="false" customHeight="true" outlineLevel="0" collapsed="false">
      <c r="A29" s="27"/>
      <c r="B29" s="27"/>
      <c r="C29" s="27"/>
      <c r="D29" s="39"/>
      <c r="E29" s="34"/>
      <c r="F29" s="40" t="str">
        <f aca="false">IF(B29="","",IFERROR(INDEX(Details!$E$6:$E$10,MATCH(A29,Details!$D$6:$D$10,0)),0))</f>
        <v/>
      </c>
      <c r="G29" s="41" t="str">
        <f aca="false">IF(B29="","",ROUND(N(E29)*(1+F29),2))</f>
        <v/>
      </c>
      <c r="H29" s="41" t="str">
        <f aca="false">IF(B29="","",ROUND(N(D29)*G29,2))</f>
        <v/>
      </c>
      <c r="I29" s="39"/>
      <c r="J29" s="42" t="str">
        <f aca="false">IF(B29="","",IF(I29="",N(D29),I29))</f>
        <v/>
      </c>
      <c r="K29" s="41" t="str">
        <f aca="false">IF(B29="","",ROUND(J29*G29,2))</f>
        <v/>
      </c>
      <c r="L29" s="43"/>
      <c r="M29" s="44"/>
    </row>
  </sheetData>
  <dataValidations count="4">
    <dataValidation allowBlank="true" error="Choose a value from the dropdown. You can edit the choices on the Lists sheet." errorStyle="stop" errorTitle="Pick from the list" operator="between" showDropDown="false" showErrorMessage="true" showInputMessage="false" sqref="A5:A29" type="list">
      <formula1>Lists!$A$5:$A$9</formula1>
      <formula2>0</formula2>
    </dataValidation>
    <dataValidation allowBlank="true" error="Choose a value from the dropdown. You can edit the choices on the Lists sheet." errorStyle="stop" errorTitle="Pick from the list" operator="between" showDropDown="false" showErrorMessage="true" showInputMessage="false" sqref="C5:C29" type="list">
      <formula1>Lists!$B$5:$B$20</formula1>
      <formula2>0</formula2>
    </dataValidation>
    <dataValidation allowBlank="true" error="Choose a value from the dropdown. You can edit the choices on the Lists sheet." errorStyle="stop" errorTitle="Pick from the list" operator="between" showDropDown="false" showErrorMessage="true" showInputMessage="false" sqref="L5:L29" type="list">
      <formula1>Lists!$C$5:$C$6</formula1>
      <formula2>0</formula2>
    </dataValidation>
    <dataValidation allowBlank="true" error="Enter a number, 0 or more." errorStyle="stop" errorTitle="Check this value" operator="greaterThanOrEqual" showDropDown="false" showErrorMessage="true" showInputMessage="false" sqref="D5:E29 I5:I29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F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2"/>
    <col collapsed="false" customWidth="true" hidden="false" outlineLevel="0" max="4" min="3" style="0" width="9"/>
    <col collapsed="false" customWidth="true" hidden="false" outlineLevel="0" max="6" min="5" style="0" width="16"/>
  </cols>
  <sheetData>
    <row r="1" customFormat="false" ht="33.75" hidden="false" customHeight="true" outlineLevel="0" collapsed="false">
      <c r="A1" s="45" t="str">
        <f aca="false">Details!$B$5</f>
        <v>Northline Home Renovations</v>
      </c>
      <c r="F1" s="46" t="s">
        <v>76</v>
      </c>
    </row>
    <row r="2" customFormat="false" ht="15" hidden="false" customHeight="false" outlineLevel="0" collapsed="false">
      <c r="A2" s="47" t="str">
        <f aca="false">Details!$B$6</f>
        <v>418 Cedar Lane</v>
      </c>
      <c r="E2" s="48" t="s">
        <v>135</v>
      </c>
      <c r="F2" s="49" t="str">
        <f aca="false">Details!$B$25</f>
        <v>EST-0318</v>
      </c>
    </row>
    <row r="3" customFormat="false" ht="15" hidden="false" customHeight="false" outlineLevel="0" collapsed="false">
      <c r="A3" s="47" t="str">
        <f aca="false">Details!$B$7</f>
        <v>Maple Grove, MN 55311</v>
      </c>
      <c r="E3" s="48" t="s">
        <v>136</v>
      </c>
      <c r="F3" s="50" t="n">
        <f aca="false">IF(Details!$B$26="","",Details!$B$26)</f>
        <v>46307</v>
      </c>
    </row>
    <row r="4" customFormat="false" ht="15" hidden="false" customHeight="false" outlineLevel="0" collapsed="false">
      <c r="A4" s="47" t="str">
        <f aca="false">Details!$B$8&amp;IF(AND(Details!$B$8&lt;&gt;"",Details!$B$9&lt;&gt;"")," · ","")&amp;Details!$B$9</f>
        <v>(555) 014-2290 · office@example.com</v>
      </c>
      <c r="E4" s="48" t="s">
        <v>137</v>
      </c>
      <c r="F4" s="50" t="n">
        <f aca="false">IF(Details!$B$26="","",Details!$B$26+N(Details!$B$27))</f>
        <v>46337</v>
      </c>
    </row>
    <row r="5" customFormat="false" ht="15" hidden="false" customHeight="false" outlineLevel="0" collapsed="false">
      <c r="A5" s="51" t="str">
        <f aca="false">Details!$B$10</f>
        <v>Lic. #BC-204817</v>
      </c>
    </row>
    <row r="7" customFormat="false" ht="21.75" hidden="false" customHeight="true" outlineLevel="0" collapsed="false">
      <c r="A7" s="4" t="s">
        <v>138</v>
      </c>
      <c r="B7" s="5"/>
      <c r="D7" s="4" t="s">
        <v>139</v>
      </c>
      <c r="E7" s="5"/>
      <c r="F7" s="5"/>
    </row>
    <row r="8" customFormat="false" ht="15" hidden="false" customHeight="false" outlineLevel="0" collapsed="false">
      <c r="A8" s="52" t="str">
        <f aca="false">Details!$B$13</f>
        <v>Dana Whitfield</v>
      </c>
      <c r="D8" s="52" t="str">
        <f aca="false">Details!$B$20</f>
        <v>Hall bathroom remodel</v>
      </c>
    </row>
    <row r="9" customFormat="false" ht="15" hidden="false" customHeight="false" outlineLevel="0" collapsed="false">
      <c r="A9" s="53" t="str">
        <f aca="false">Details!$B$14</f>
        <v>27 Orchard Street</v>
      </c>
      <c r="D9" s="54" t="str">
        <f aca="false">Details!$B$21</f>
        <v>27 Orchard Street, Maple Grove</v>
      </c>
      <c r="E9" s="54"/>
      <c r="F9" s="54"/>
    </row>
    <row r="10" customFormat="false" ht="15" hidden="false" customHeight="false" outlineLevel="0" collapsed="false">
      <c r="A10" s="53" t="str">
        <f aca="false">Details!$B$15</f>
        <v>Maple Grove, MN 55311</v>
      </c>
      <c r="D10" s="54"/>
      <c r="E10" s="54"/>
      <c r="F10" s="54"/>
    </row>
    <row r="11" customFormat="false" ht="15" hidden="false" customHeight="false" outlineLevel="0" collapsed="false">
      <c r="A11" s="53" t="str">
        <f aca="false">Details!$B$16</f>
        <v>(555) 018-7741</v>
      </c>
    </row>
    <row r="12" customFormat="false" ht="15" hidden="false" customHeight="false" outlineLevel="0" collapsed="false">
      <c r="A12" s="53" t="str">
        <f aca="false">Details!$B$17</f>
        <v>dana.w@example.com</v>
      </c>
    </row>
    <row r="14" customFormat="false" ht="21.75" hidden="false" customHeight="true" outlineLevel="0" collapsed="false">
      <c r="A14" s="4" t="s">
        <v>140</v>
      </c>
      <c r="B14" s="5"/>
      <c r="C14" s="5"/>
      <c r="D14" s="5"/>
      <c r="E14" s="5"/>
      <c r="F14" s="5"/>
    </row>
    <row r="15" customFormat="false" ht="21.75" hidden="false" customHeight="true" outlineLevel="0" collapsed="false">
      <c r="A15" s="54" t="str">
        <f aca="false">Details!$B$22</f>
        <v>Remove the existing tub and tile. Install a walk-in shower with a glass door, new vanity, toilet and vinyl plank flooring. Add a fan and lighting circuit, then paint and finish trim.</v>
      </c>
      <c r="B15" s="54"/>
      <c r="C15" s="54"/>
      <c r="D15" s="54"/>
      <c r="E15" s="54"/>
      <c r="F15" s="54"/>
    </row>
    <row r="16" customFormat="false" ht="21.75" hidden="false" customHeight="true" outlineLevel="0" collapsed="false">
      <c r="A16" s="54"/>
      <c r="B16" s="54"/>
      <c r="C16" s="54"/>
      <c r="D16" s="54"/>
      <c r="E16" s="54"/>
      <c r="F16" s="54"/>
    </row>
    <row r="18" customFormat="false" ht="21.75" hidden="false" customHeight="true" outlineLevel="0" collapsed="false">
      <c r="A18" s="37" t="s">
        <v>141</v>
      </c>
      <c r="B18" s="37" t="s">
        <v>100</v>
      </c>
      <c r="C18" s="38" t="s">
        <v>142</v>
      </c>
      <c r="D18" s="37" t="s">
        <v>101</v>
      </c>
      <c r="E18" s="38" t="s">
        <v>143</v>
      </c>
      <c r="F18" s="38" t="s">
        <v>33</v>
      </c>
    </row>
    <row r="19" customFormat="false" ht="16.5" hidden="false" customHeight="true" outlineLevel="0" collapsed="false">
      <c r="A19" s="55" t="n">
        <f aca="false">IF(Items!$B5="","",1)</f>
        <v>1</v>
      </c>
      <c r="B19" s="56" t="str">
        <f aca="false">IF(Items!$B5="","",Items!B5)</f>
        <v>Demolition and haul-away</v>
      </c>
      <c r="C19" s="57" t="n">
        <f aca="false">IF(Items!$B5="","",Items!D5)</f>
        <v>12</v>
      </c>
      <c r="D19" s="56" t="str">
        <f aca="false">IF(Items!$B5="","",IF(Items!C5="","",Items!C5))</f>
        <v>hr</v>
      </c>
      <c r="E19" s="58" t="n">
        <f aca="false">IF(Items!$B5="","",Items!G5)</f>
        <v>65</v>
      </c>
      <c r="F19" s="58" t="n">
        <f aca="false">IF(Items!$B5="","",Items!H5)</f>
        <v>780</v>
      </c>
    </row>
    <row r="20" customFormat="false" ht="16.5" hidden="false" customHeight="true" outlineLevel="0" collapsed="false">
      <c r="A20" s="55" t="n">
        <f aca="false">IF(Items!$B6="","",2)</f>
        <v>2</v>
      </c>
      <c r="B20" s="56" t="str">
        <f aca="false">IF(Items!$B6="","",Items!B6)</f>
        <v>Plumbing rough-in and fixture install</v>
      </c>
      <c r="C20" s="57" t="n">
        <f aca="false">IF(Items!$B6="","",Items!D6)</f>
        <v>16</v>
      </c>
      <c r="D20" s="56" t="str">
        <f aca="false">IF(Items!$B6="","",IF(Items!C6="","",Items!C6))</f>
        <v>hr</v>
      </c>
      <c r="E20" s="58" t="n">
        <f aca="false">IF(Items!$B6="","",Items!G6)</f>
        <v>85</v>
      </c>
      <c r="F20" s="58" t="n">
        <f aca="false">IF(Items!$B6="","",Items!H6)</f>
        <v>1360</v>
      </c>
    </row>
    <row r="21" customFormat="false" ht="16.5" hidden="false" customHeight="true" outlineLevel="0" collapsed="false">
      <c r="A21" s="55" t="n">
        <f aca="false">IF(Items!$B7="","",3)</f>
        <v>3</v>
      </c>
      <c r="B21" s="56" t="str">
        <f aca="false">IF(Items!$B7="","",Items!B7)</f>
        <v>Tile installation, shower and floor</v>
      </c>
      <c r="C21" s="57" t="n">
        <f aca="false">IF(Items!$B7="","",Items!D7)</f>
        <v>24</v>
      </c>
      <c r="D21" s="56" t="str">
        <f aca="false">IF(Items!$B7="","",IF(Items!C7="","",Items!C7))</f>
        <v>hr</v>
      </c>
      <c r="E21" s="58" t="n">
        <f aca="false">IF(Items!$B7="","",Items!G7)</f>
        <v>70</v>
      </c>
      <c r="F21" s="58" t="n">
        <f aca="false">IF(Items!$B7="","",Items!H7)</f>
        <v>1680</v>
      </c>
    </row>
    <row r="22" customFormat="false" ht="16.5" hidden="false" customHeight="true" outlineLevel="0" collapsed="false">
      <c r="A22" s="55" t="n">
        <f aca="false">IF(Items!$B8="","",4)</f>
        <v>4</v>
      </c>
      <c r="B22" s="56" t="str">
        <f aca="false">IF(Items!$B8="","",Items!B8)</f>
        <v>Paint and finish carpentry</v>
      </c>
      <c r="C22" s="57" t="n">
        <f aca="false">IF(Items!$B8="","",Items!D8)</f>
        <v>10</v>
      </c>
      <c r="D22" s="56" t="str">
        <f aca="false">IF(Items!$B8="","",IF(Items!C8="","",Items!C8))</f>
        <v>hr</v>
      </c>
      <c r="E22" s="58" t="n">
        <f aca="false">IF(Items!$B8="","",Items!G8)</f>
        <v>60</v>
      </c>
      <c r="F22" s="58" t="n">
        <f aca="false">IF(Items!$B8="","",Items!H8)</f>
        <v>600</v>
      </c>
    </row>
    <row r="23" customFormat="false" ht="16.5" hidden="false" customHeight="true" outlineLevel="0" collapsed="false">
      <c r="A23" s="55" t="n">
        <f aca="false">IF(Items!$B9="","",5)</f>
        <v>5</v>
      </c>
      <c r="B23" s="56" t="str">
        <f aca="false">IF(Items!$B9="","",Items!B9)</f>
        <v>Shower tile and setting materials</v>
      </c>
      <c r="C23" s="57" t="n">
        <f aca="false">IF(Items!$B9="","",Items!D9)</f>
        <v>120</v>
      </c>
      <c r="D23" s="56" t="str">
        <f aca="false">IF(Items!$B9="","",IF(Items!C9="","",Items!C9))</f>
        <v>sq ft</v>
      </c>
      <c r="E23" s="58" t="n">
        <f aca="false">IF(Items!$B9="","",Items!G9)</f>
        <v>8.63</v>
      </c>
      <c r="F23" s="58" t="n">
        <f aca="false">IF(Items!$B9="","",Items!H9)</f>
        <v>1035.6</v>
      </c>
    </row>
    <row r="24" customFormat="false" ht="16.5" hidden="false" customHeight="true" outlineLevel="0" collapsed="false">
      <c r="A24" s="55" t="n">
        <f aca="false">IF(Items!$B10="","",6)</f>
        <v>6</v>
      </c>
      <c r="B24" s="56" t="str">
        <f aca="false">IF(Items!$B10="","",Items!B10)</f>
        <v>Glass shower door</v>
      </c>
      <c r="C24" s="57" t="n">
        <f aca="false">IF(Items!$B10="","",Items!D10)</f>
        <v>1</v>
      </c>
      <c r="D24" s="56" t="str">
        <f aca="false">IF(Items!$B10="","",IF(Items!C10="","",Items!C10))</f>
        <v>ea</v>
      </c>
      <c r="E24" s="58" t="n">
        <f aca="false">IF(Items!$B10="","",Items!G10)</f>
        <v>782</v>
      </c>
      <c r="F24" s="58" t="n">
        <f aca="false">IF(Items!$B10="","",Items!H10)</f>
        <v>782</v>
      </c>
    </row>
    <row r="25" customFormat="false" ht="16.5" hidden="false" customHeight="true" outlineLevel="0" collapsed="false">
      <c r="A25" s="55" t="n">
        <f aca="false">IF(Items!$B11="","",7)</f>
        <v>7</v>
      </c>
      <c r="B25" s="56" t="str">
        <f aca="false">IF(Items!$B11="","",Items!B11)</f>
        <v>Vanity with top</v>
      </c>
      <c r="C25" s="57" t="n">
        <f aca="false">IF(Items!$B11="","",Items!D11)</f>
        <v>1</v>
      </c>
      <c r="D25" s="56" t="str">
        <f aca="false">IF(Items!$B11="","",IF(Items!C11="","",Items!C11))</f>
        <v>ea</v>
      </c>
      <c r="E25" s="58" t="n">
        <f aca="false">IF(Items!$B11="","",Items!G11)</f>
        <v>621</v>
      </c>
      <c r="F25" s="58" t="n">
        <f aca="false">IF(Items!$B11="","",Items!H11)</f>
        <v>621</v>
      </c>
    </row>
    <row r="26" customFormat="false" ht="16.5" hidden="false" customHeight="true" outlineLevel="0" collapsed="false">
      <c r="A26" s="55" t="n">
        <f aca="false">IF(Items!$B12="","",8)</f>
        <v>8</v>
      </c>
      <c r="B26" s="56" t="str">
        <f aca="false">IF(Items!$B12="","",Items!B12)</f>
        <v>Toilet</v>
      </c>
      <c r="C26" s="57" t="n">
        <f aca="false">IF(Items!$B12="","",Items!D12)</f>
        <v>1</v>
      </c>
      <c r="D26" s="56" t="str">
        <f aca="false">IF(Items!$B12="","",IF(Items!C12="","",Items!C12))</f>
        <v>ea</v>
      </c>
      <c r="E26" s="58" t="n">
        <f aca="false">IF(Items!$B12="","",Items!G12)</f>
        <v>299</v>
      </c>
      <c r="F26" s="58" t="n">
        <f aca="false">IF(Items!$B12="","",Items!H12)</f>
        <v>299</v>
      </c>
    </row>
    <row r="27" customFormat="false" ht="16.5" hidden="false" customHeight="true" outlineLevel="0" collapsed="false">
      <c r="A27" s="55" t="n">
        <f aca="false">IF(Items!$B13="","",9)</f>
        <v>9</v>
      </c>
      <c r="B27" s="56" t="str">
        <f aca="false">IF(Items!$B13="","",Items!B13)</f>
        <v>Vinyl plank flooring</v>
      </c>
      <c r="C27" s="57" t="n">
        <f aca="false">IF(Items!$B13="","",Items!D13)</f>
        <v>55</v>
      </c>
      <c r="D27" s="56" t="str">
        <f aca="false">IF(Items!$B13="","",IF(Items!C13="","",Items!C13))</f>
        <v>sq ft</v>
      </c>
      <c r="E27" s="58" t="n">
        <f aca="false">IF(Items!$B13="","",Items!G13)</f>
        <v>4.83</v>
      </c>
      <c r="F27" s="58" t="n">
        <f aca="false">IF(Items!$B13="","",Items!H13)</f>
        <v>265.65</v>
      </c>
    </row>
    <row r="28" customFormat="false" ht="16.5" hidden="false" customHeight="true" outlineLevel="0" collapsed="false">
      <c r="A28" s="55" t="n">
        <f aca="false">IF(Items!$B14="","",10)</f>
        <v>10</v>
      </c>
      <c r="B28" s="56" t="str">
        <f aca="false">IF(Items!$B14="","",Items!B14)</f>
        <v>Dumpster rental</v>
      </c>
      <c r="C28" s="57" t="n">
        <f aca="false">IF(Items!$B14="","",Items!D14)</f>
        <v>5</v>
      </c>
      <c r="D28" s="56" t="str">
        <f aca="false">IF(Items!$B14="","",IF(Items!C14="","",Items!C14))</f>
        <v>day</v>
      </c>
      <c r="E28" s="58" t="n">
        <f aca="false">IF(Items!$B14="","",Items!G14)</f>
        <v>49.5</v>
      </c>
      <c r="F28" s="58" t="n">
        <f aca="false">IF(Items!$B14="","",Items!H14)</f>
        <v>247.5</v>
      </c>
    </row>
    <row r="29" customFormat="false" ht="16.5" hidden="false" customHeight="true" outlineLevel="0" collapsed="false">
      <c r="A29" s="55" t="n">
        <f aca="false">IF(Items!$B15="","",11)</f>
        <v>11</v>
      </c>
      <c r="B29" s="56" t="str">
        <f aca="false">IF(Items!$B15="","",Items!B15)</f>
        <v>Electrician: fan and lighting circuit</v>
      </c>
      <c r="C29" s="57" t="n">
        <f aca="false">IF(Items!$B15="","",Items!D15)</f>
        <v>1</v>
      </c>
      <c r="D29" s="56" t="str">
        <f aca="false">IF(Items!$B15="","",IF(Items!C15="","",Items!C15))</f>
        <v>lot</v>
      </c>
      <c r="E29" s="58" t="n">
        <f aca="false">IF(Items!$B15="","",Items!G15)</f>
        <v>715</v>
      </c>
      <c r="F29" s="58" t="n">
        <f aca="false">IF(Items!$B15="","",Items!H15)</f>
        <v>715</v>
      </c>
    </row>
    <row r="30" customFormat="false" ht="16.5" hidden="false" customHeight="true" outlineLevel="0" collapsed="false">
      <c r="A30" s="55" t="n">
        <f aca="false">IF(Items!$B16="","",12)</f>
        <v>12</v>
      </c>
      <c r="B30" s="56" t="str">
        <f aca="false">IF(Items!$B16="","",Items!B16)</f>
        <v>Building permit</v>
      </c>
      <c r="C30" s="57" t="n">
        <f aca="false">IF(Items!$B16="","",Items!D16)</f>
        <v>1</v>
      </c>
      <c r="D30" s="56" t="str">
        <f aca="false">IF(Items!$B16="","",IF(Items!C16="","",Items!C16))</f>
        <v>ea</v>
      </c>
      <c r="E30" s="58" t="n">
        <f aca="false">IF(Items!$B16="","",Items!G16)</f>
        <v>175</v>
      </c>
      <c r="F30" s="58" t="n">
        <f aca="false">IF(Items!$B16="","",Items!H16)</f>
        <v>175</v>
      </c>
    </row>
    <row r="31" customFormat="false" ht="16.5" hidden="false" customHeight="true" outlineLevel="0" collapsed="false">
      <c r="A31" s="55" t="str">
        <f aca="false">IF(Items!$B17="","",13)</f>
        <v/>
      </c>
      <c r="B31" s="56" t="str">
        <f aca="false">IF(Items!$B17="","",Items!B17)</f>
        <v/>
      </c>
      <c r="C31" s="57" t="str">
        <f aca="false">IF(Items!$B17="","",Items!D17)</f>
        <v/>
      </c>
      <c r="D31" s="56" t="str">
        <f aca="false">IF(Items!$B17="","",IF(Items!C17="","",Items!C17))</f>
        <v/>
      </c>
      <c r="E31" s="58" t="str">
        <f aca="false">IF(Items!$B17="","",Items!G17)</f>
        <v/>
      </c>
      <c r="F31" s="58" t="str">
        <f aca="false">IF(Items!$B17="","",Items!H17)</f>
        <v/>
      </c>
    </row>
    <row r="32" customFormat="false" ht="16.5" hidden="false" customHeight="true" outlineLevel="0" collapsed="false">
      <c r="A32" s="55" t="str">
        <f aca="false">IF(Items!$B18="","",14)</f>
        <v/>
      </c>
      <c r="B32" s="56" t="str">
        <f aca="false">IF(Items!$B18="","",Items!B18)</f>
        <v/>
      </c>
      <c r="C32" s="57" t="str">
        <f aca="false">IF(Items!$B18="","",Items!D18)</f>
        <v/>
      </c>
      <c r="D32" s="56" t="str">
        <f aca="false">IF(Items!$B18="","",IF(Items!C18="","",Items!C18))</f>
        <v/>
      </c>
      <c r="E32" s="58" t="str">
        <f aca="false">IF(Items!$B18="","",Items!G18)</f>
        <v/>
      </c>
      <c r="F32" s="58" t="str">
        <f aca="false">IF(Items!$B18="","",Items!H18)</f>
        <v/>
      </c>
    </row>
    <row r="33" customFormat="false" ht="16.5" hidden="false" customHeight="true" outlineLevel="0" collapsed="false">
      <c r="A33" s="55" t="str">
        <f aca="false">IF(Items!$B19="","",15)</f>
        <v/>
      </c>
      <c r="B33" s="56" t="str">
        <f aca="false">IF(Items!$B19="","",Items!B19)</f>
        <v/>
      </c>
      <c r="C33" s="57" t="str">
        <f aca="false">IF(Items!$B19="","",Items!D19)</f>
        <v/>
      </c>
      <c r="D33" s="56" t="str">
        <f aca="false">IF(Items!$B19="","",IF(Items!C19="","",Items!C19))</f>
        <v/>
      </c>
      <c r="E33" s="58" t="str">
        <f aca="false">IF(Items!$B19="","",Items!G19)</f>
        <v/>
      </c>
      <c r="F33" s="58" t="str">
        <f aca="false">IF(Items!$B19="","",Items!H19)</f>
        <v/>
      </c>
    </row>
    <row r="34" customFormat="false" ht="16.5" hidden="false" customHeight="true" outlineLevel="0" collapsed="false">
      <c r="A34" s="55" t="str">
        <f aca="false">IF(Items!$B20="","",16)</f>
        <v/>
      </c>
      <c r="B34" s="56" t="str">
        <f aca="false">IF(Items!$B20="","",Items!B20)</f>
        <v/>
      </c>
      <c r="C34" s="57" t="str">
        <f aca="false">IF(Items!$B20="","",Items!D20)</f>
        <v/>
      </c>
      <c r="D34" s="56" t="str">
        <f aca="false">IF(Items!$B20="","",IF(Items!C20="","",Items!C20))</f>
        <v/>
      </c>
      <c r="E34" s="58" t="str">
        <f aca="false">IF(Items!$B20="","",Items!G20)</f>
        <v/>
      </c>
      <c r="F34" s="58" t="str">
        <f aca="false">IF(Items!$B20="","",Items!H20)</f>
        <v/>
      </c>
    </row>
    <row r="35" customFormat="false" ht="16.5" hidden="false" customHeight="true" outlineLevel="0" collapsed="false">
      <c r="A35" s="55" t="str">
        <f aca="false">IF(Items!$B21="","",17)</f>
        <v/>
      </c>
      <c r="B35" s="56" t="str">
        <f aca="false">IF(Items!$B21="","",Items!B21)</f>
        <v/>
      </c>
      <c r="C35" s="57" t="str">
        <f aca="false">IF(Items!$B21="","",Items!D21)</f>
        <v/>
      </c>
      <c r="D35" s="56" t="str">
        <f aca="false">IF(Items!$B21="","",IF(Items!C21="","",Items!C21))</f>
        <v/>
      </c>
      <c r="E35" s="58" t="str">
        <f aca="false">IF(Items!$B21="","",Items!G21)</f>
        <v/>
      </c>
      <c r="F35" s="58" t="str">
        <f aca="false">IF(Items!$B21="","",Items!H21)</f>
        <v/>
      </c>
    </row>
    <row r="36" customFormat="false" ht="16.5" hidden="false" customHeight="true" outlineLevel="0" collapsed="false">
      <c r="A36" s="55" t="str">
        <f aca="false">IF(Items!$B22="","",18)</f>
        <v/>
      </c>
      <c r="B36" s="56" t="str">
        <f aca="false">IF(Items!$B22="","",Items!B22)</f>
        <v/>
      </c>
      <c r="C36" s="57" t="str">
        <f aca="false">IF(Items!$B22="","",Items!D22)</f>
        <v/>
      </c>
      <c r="D36" s="56" t="str">
        <f aca="false">IF(Items!$B22="","",IF(Items!C22="","",Items!C22))</f>
        <v/>
      </c>
      <c r="E36" s="58" t="str">
        <f aca="false">IF(Items!$B22="","",Items!G22)</f>
        <v/>
      </c>
      <c r="F36" s="58" t="str">
        <f aca="false">IF(Items!$B22="","",Items!H22)</f>
        <v/>
      </c>
    </row>
    <row r="37" customFormat="false" ht="16.5" hidden="false" customHeight="true" outlineLevel="0" collapsed="false">
      <c r="A37" s="55" t="str">
        <f aca="false">IF(Items!$B23="","",19)</f>
        <v/>
      </c>
      <c r="B37" s="56" t="str">
        <f aca="false">IF(Items!$B23="","",Items!B23)</f>
        <v/>
      </c>
      <c r="C37" s="57" t="str">
        <f aca="false">IF(Items!$B23="","",Items!D23)</f>
        <v/>
      </c>
      <c r="D37" s="56" t="str">
        <f aca="false">IF(Items!$B23="","",IF(Items!C23="","",Items!C23))</f>
        <v/>
      </c>
      <c r="E37" s="58" t="str">
        <f aca="false">IF(Items!$B23="","",Items!G23)</f>
        <v/>
      </c>
      <c r="F37" s="58" t="str">
        <f aca="false">IF(Items!$B23="","",Items!H23)</f>
        <v/>
      </c>
    </row>
    <row r="38" customFormat="false" ht="16.5" hidden="false" customHeight="true" outlineLevel="0" collapsed="false">
      <c r="A38" s="55" t="str">
        <f aca="false">IF(Items!$B24="","",20)</f>
        <v/>
      </c>
      <c r="B38" s="56" t="str">
        <f aca="false">IF(Items!$B24="","",Items!B24)</f>
        <v/>
      </c>
      <c r="C38" s="57" t="str">
        <f aca="false">IF(Items!$B24="","",Items!D24)</f>
        <v/>
      </c>
      <c r="D38" s="56" t="str">
        <f aca="false">IF(Items!$B24="","",IF(Items!C24="","",Items!C24))</f>
        <v/>
      </c>
      <c r="E38" s="58" t="str">
        <f aca="false">IF(Items!$B24="","",Items!G24)</f>
        <v/>
      </c>
      <c r="F38" s="58" t="str">
        <f aca="false">IF(Items!$B24="","",Items!H24)</f>
        <v/>
      </c>
    </row>
    <row r="39" customFormat="false" ht="16.5" hidden="false" customHeight="true" outlineLevel="0" collapsed="false">
      <c r="A39" s="55" t="str">
        <f aca="false">IF(Items!$B25="","",21)</f>
        <v/>
      </c>
      <c r="B39" s="56" t="str">
        <f aca="false">IF(Items!$B25="","",Items!B25)</f>
        <v/>
      </c>
      <c r="C39" s="57" t="str">
        <f aca="false">IF(Items!$B25="","",Items!D25)</f>
        <v/>
      </c>
      <c r="D39" s="56" t="str">
        <f aca="false">IF(Items!$B25="","",IF(Items!C25="","",Items!C25))</f>
        <v/>
      </c>
      <c r="E39" s="58" t="str">
        <f aca="false">IF(Items!$B25="","",Items!G25)</f>
        <v/>
      </c>
      <c r="F39" s="58" t="str">
        <f aca="false">IF(Items!$B25="","",Items!H25)</f>
        <v/>
      </c>
    </row>
    <row r="40" customFormat="false" ht="16.5" hidden="false" customHeight="true" outlineLevel="0" collapsed="false">
      <c r="A40" s="55" t="str">
        <f aca="false">IF(Items!$B26="","",22)</f>
        <v/>
      </c>
      <c r="B40" s="56" t="str">
        <f aca="false">IF(Items!$B26="","",Items!B26)</f>
        <v/>
      </c>
      <c r="C40" s="57" t="str">
        <f aca="false">IF(Items!$B26="","",Items!D26)</f>
        <v/>
      </c>
      <c r="D40" s="56" t="str">
        <f aca="false">IF(Items!$B26="","",IF(Items!C26="","",Items!C26))</f>
        <v/>
      </c>
      <c r="E40" s="58" t="str">
        <f aca="false">IF(Items!$B26="","",Items!G26)</f>
        <v/>
      </c>
      <c r="F40" s="58" t="str">
        <f aca="false">IF(Items!$B26="","",Items!H26)</f>
        <v/>
      </c>
    </row>
    <row r="41" customFormat="false" ht="16.5" hidden="false" customHeight="true" outlineLevel="0" collapsed="false">
      <c r="A41" s="55" t="str">
        <f aca="false">IF(Items!$B27="","",23)</f>
        <v/>
      </c>
      <c r="B41" s="56" t="str">
        <f aca="false">IF(Items!$B27="","",Items!B27)</f>
        <v/>
      </c>
      <c r="C41" s="57" t="str">
        <f aca="false">IF(Items!$B27="","",Items!D27)</f>
        <v/>
      </c>
      <c r="D41" s="56" t="str">
        <f aca="false">IF(Items!$B27="","",IF(Items!C27="","",Items!C27))</f>
        <v/>
      </c>
      <c r="E41" s="58" t="str">
        <f aca="false">IF(Items!$B27="","",Items!G27)</f>
        <v/>
      </c>
      <c r="F41" s="58" t="str">
        <f aca="false">IF(Items!$B27="","",Items!H27)</f>
        <v/>
      </c>
    </row>
    <row r="42" customFormat="false" ht="16.5" hidden="false" customHeight="true" outlineLevel="0" collapsed="false">
      <c r="A42" s="55" t="str">
        <f aca="false">IF(Items!$B28="","",24)</f>
        <v/>
      </c>
      <c r="B42" s="56" t="str">
        <f aca="false">IF(Items!$B28="","",Items!B28)</f>
        <v/>
      </c>
      <c r="C42" s="57" t="str">
        <f aca="false">IF(Items!$B28="","",Items!D28)</f>
        <v/>
      </c>
      <c r="D42" s="56" t="str">
        <f aca="false">IF(Items!$B28="","",IF(Items!C28="","",Items!C28))</f>
        <v/>
      </c>
      <c r="E42" s="58" t="str">
        <f aca="false">IF(Items!$B28="","",Items!G28)</f>
        <v/>
      </c>
      <c r="F42" s="58" t="str">
        <f aca="false">IF(Items!$B28="","",Items!H28)</f>
        <v/>
      </c>
    </row>
    <row r="43" customFormat="false" ht="16.5" hidden="false" customHeight="true" outlineLevel="0" collapsed="false">
      <c r="A43" s="55" t="str">
        <f aca="false">IF(Items!$B29="","",25)</f>
        <v/>
      </c>
      <c r="B43" s="56" t="str">
        <f aca="false">IF(Items!$B29="","",Items!B29)</f>
        <v/>
      </c>
      <c r="C43" s="57" t="str">
        <f aca="false">IF(Items!$B29="","",Items!D29)</f>
        <v/>
      </c>
      <c r="D43" s="56" t="str">
        <f aca="false">IF(Items!$B29="","",IF(Items!C29="","",Items!C29))</f>
        <v/>
      </c>
      <c r="E43" s="58" t="str">
        <f aca="false">IF(Items!$B29="","",Items!G29)</f>
        <v/>
      </c>
      <c r="F43" s="58" t="str">
        <f aca="false">IF(Items!$B29="","",Items!H29)</f>
        <v/>
      </c>
    </row>
    <row r="45" customFormat="false" ht="21.75" hidden="false" customHeight="true" outlineLevel="0" collapsed="false">
      <c r="A45" s="4" t="s">
        <v>144</v>
      </c>
      <c r="B45" s="5"/>
      <c r="E45" s="59" t="s">
        <v>145</v>
      </c>
      <c r="F45" s="60" t="n">
        <f aca="false">SUM(Items!$H$5:$H$29)</f>
        <v>8560.75</v>
      </c>
    </row>
    <row r="46" customFormat="false" ht="18.75" hidden="false" customHeight="true" outlineLevel="0" collapsed="false">
      <c r="A46" s="61" t="str">
        <f aca="false">Details!$B$43</f>
        <v>Price includes labor, materials and cleanup. Changes to the scope are quoted separately. A 30% deposit is due to schedule the work.</v>
      </c>
      <c r="B46" s="61"/>
      <c r="D46" s="62" t="n">
        <f aca="false">Details!$B$40</f>
        <v>0.05</v>
      </c>
      <c r="E46" s="59" t="s">
        <v>146</v>
      </c>
      <c r="F46" s="60" t="n">
        <f aca="false">-ROUND(F45*N(Details!$B$40),2)</f>
        <v>-428.04</v>
      </c>
    </row>
    <row r="47" customFormat="false" ht="18.75" hidden="false" customHeight="true" outlineLevel="0" collapsed="false">
      <c r="A47" s="61"/>
      <c r="B47" s="61"/>
      <c r="D47" s="62" t="n">
        <f aca="false">Details!$B$39</f>
        <v>0.06875</v>
      </c>
      <c r="E47" s="59" t="s">
        <v>147</v>
      </c>
      <c r="F47" s="60" t="n">
        <f aca="false">ROUND(SUMIFS(Items!$H$5:$H$29,Items!$L$5:$L$29,"Yes")*(1-N(Details!$B$40))*N(Details!$B$39),2)</f>
        <v>196.15</v>
      </c>
    </row>
    <row r="48" customFormat="false" ht="18.75" hidden="false" customHeight="true" outlineLevel="0" collapsed="false">
      <c r="A48" s="61"/>
      <c r="B48" s="61"/>
      <c r="E48" s="63" t="s">
        <v>148</v>
      </c>
      <c r="F48" s="64" t="n">
        <f aca="false">F45+F46+F47</f>
        <v>8328.86</v>
      </c>
    </row>
    <row r="49" customFormat="false" ht="18.75" hidden="false" customHeight="true" outlineLevel="0" collapsed="false">
      <c r="A49" s="61"/>
      <c r="B49" s="61"/>
      <c r="D49" s="62" t="n">
        <f aca="false">Details!$B$28</f>
        <v>0.3</v>
      </c>
      <c r="E49" s="59" t="s">
        <v>149</v>
      </c>
      <c r="F49" s="60" t="n">
        <f aca="false">ROUND(F48*N(Details!$B$28),2)</f>
        <v>2498.66</v>
      </c>
    </row>
    <row r="52" customFormat="false" ht="15" hidden="false" customHeight="false" outlineLevel="0" collapsed="false">
      <c r="A52" s="53" t="s">
        <v>150</v>
      </c>
      <c r="E52" s="59" t="s">
        <v>151</v>
      </c>
    </row>
    <row r="54" customFormat="false" ht="15" hidden="false" customHeight="false" outlineLevel="0" collapsed="false">
      <c r="A54" s="51" t="s">
        <v>152</v>
      </c>
    </row>
  </sheetData>
  <mergeCells count="3">
    <mergeCell ref="D9:F10"/>
    <mergeCell ref="A15:F16"/>
    <mergeCell ref="A46:B49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F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2"/>
    <col collapsed="false" customWidth="true" hidden="false" outlineLevel="0" max="4" min="3" style="0" width="9"/>
    <col collapsed="false" customWidth="true" hidden="false" outlineLevel="0" max="6" min="5" style="0" width="16"/>
  </cols>
  <sheetData>
    <row r="1" customFormat="false" ht="33.75" hidden="false" customHeight="true" outlineLevel="0" collapsed="false">
      <c r="A1" s="45" t="str">
        <f aca="false">Details!$B$5</f>
        <v>Northline Home Renovations</v>
      </c>
      <c r="F1" s="46" t="s">
        <v>82</v>
      </c>
    </row>
    <row r="2" customFormat="false" ht="15" hidden="false" customHeight="false" outlineLevel="0" collapsed="false">
      <c r="A2" s="47" t="str">
        <f aca="false">Details!$B$6</f>
        <v>418 Cedar Lane</v>
      </c>
      <c r="E2" s="48" t="s">
        <v>153</v>
      </c>
      <c r="F2" s="49" t="str">
        <f aca="false">Details!$B$31&amp;Details!$B$32</f>
        <v>INV-1042</v>
      </c>
    </row>
    <row r="3" customFormat="false" ht="15" hidden="false" customHeight="false" outlineLevel="0" collapsed="false">
      <c r="A3" s="47" t="str">
        <f aca="false">Details!$B$7</f>
        <v>Maple Grove, MN 55311</v>
      </c>
      <c r="E3" s="48" t="s">
        <v>86</v>
      </c>
      <c r="F3" s="50" t="n">
        <f aca="false">IF(Details!$B$33="","",Details!$B$33)</f>
        <v>46323</v>
      </c>
    </row>
    <row r="4" customFormat="false" ht="15" hidden="false" customHeight="false" outlineLevel="0" collapsed="false">
      <c r="A4" s="47" t="str">
        <f aca="false">Details!$B$8&amp;IF(AND(Details!$B$8&lt;&gt;"",Details!$B$9&lt;&gt;"")," · ","")&amp;Details!$B$9</f>
        <v>(555) 014-2290 · office@example.com</v>
      </c>
      <c r="E4" s="48" t="s">
        <v>154</v>
      </c>
      <c r="F4" s="50" t="n">
        <f aca="false">IF(Details!$B$33="","",Details!$B$33+IFERROR(VLOOKUP(Details!$B$34,Lists!$D$5:$E$12,2,FALSE()),0))</f>
        <v>46338</v>
      </c>
    </row>
    <row r="5" customFormat="false" ht="15" hidden="false" customHeight="false" outlineLevel="0" collapsed="false">
      <c r="A5" s="51" t="str">
        <f aca="false">Details!$B$10</f>
        <v>Lic. #BC-204817</v>
      </c>
      <c r="E5" s="48" t="s">
        <v>155</v>
      </c>
      <c r="F5" s="49" t="str">
        <f aca="false">Details!$B$34</f>
        <v>Net 15</v>
      </c>
    </row>
    <row r="7" customFormat="false" ht="21.75" hidden="false" customHeight="true" outlineLevel="0" collapsed="false">
      <c r="A7" s="4" t="s">
        <v>156</v>
      </c>
      <c r="B7" s="5"/>
      <c r="D7" s="4" t="s">
        <v>139</v>
      </c>
      <c r="E7" s="5"/>
      <c r="F7" s="5"/>
    </row>
    <row r="8" customFormat="false" ht="15" hidden="false" customHeight="false" outlineLevel="0" collapsed="false">
      <c r="A8" s="52" t="str">
        <f aca="false">Details!$B$13</f>
        <v>Dana Whitfield</v>
      </c>
      <c r="D8" s="52" t="str">
        <f aca="false">Details!$B$20</f>
        <v>Hall bathroom remodel</v>
      </c>
    </row>
    <row r="9" customFormat="false" ht="15" hidden="false" customHeight="false" outlineLevel="0" collapsed="false">
      <c r="A9" s="53" t="str">
        <f aca="false">Details!$B$14</f>
        <v>27 Orchard Street</v>
      </c>
      <c r="D9" s="54" t="str">
        <f aca="false">Details!$B$21</f>
        <v>27 Orchard Street, Maple Grove</v>
      </c>
      <c r="E9" s="54"/>
      <c r="F9" s="54"/>
    </row>
    <row r="10" customFormat="false" ht="15" hidden="false" customHeight="false" outlineLevel="0" collapsed="false">
      <c r="A10" s="53" t="str">
        <f aca="false">Details!$B$15</f>
        <v>Maple Grove, MN 55311</v>
      </c>
      <c r="D10" s="54"/>
      <c r="E10" s="54"/>
      <c r="F10" s="54"/>
    </row>
    <row r="11" customFormat="false" ht="15" hidden="false" customHeight="false" outlineLevel="0" collapsed="false">
      <c r="A11" s="53" t="str">
        <f aca="false">Details!$B$16</f>
        <v>(555) 018-7741</v>
      </c>
    </row>
    <row r="12" customFormat="false" ht="15" hidden="false" customHeight="false" outlineLevel="0" collapsed="false">
      <c r="A12" s="53" t="str">
        <f aca="false">Details!$B$17</f>
        <v>dana.w@example.com</v>
      </c>
    </row>
    <row r="14" customFormat="false" ht="21.75" hidden="false" customHeight="true" outlineLevel="0" collapsed="false">
      <c r="A14" s="4" t="s">
        <v>140</v>
      </c>
      <c r="B14" s="5"/>
      <c r="C14" s="5"/>
      <c r="D14" s="5"/>
      <c r="E14" s="5"/>
      <c r="F14" s="5"/>
    </row>
    <row r="15" customFormat="false" ht="21.75" hidden="false" customHeight="true" outlineLevel="0" collapsed="false">
      <c r="A15" s="54" t="str">
        <f aca="false">Details!$B$22</f>
        <v>Remove the existing tub and tile. Install a walk-in shower with a glass door, new vanity, toilet and vinyl plank flooring. Add a fan and lighting circuit, then paint and finish trim.</v>
      </c>
      <c r="B15" s="54"/>
      <c r="C15" s="54"/>
      <c r="D15" s="54"/>
      <c r="E15" s="54"/>
      <c r="F15" s="54"/>
    </row>
    <row r="16" customFormat="false" ht="21.75" hidden="false" customHeight="true" outlineLevel="0" collapsed="false">
      <c r="A16" s="54"/>
      <c r="B16" s="54"/>
      <c r="C16" s="54"/>
      <c r="D16" s="54"/>
      <c r="E16" s="54"/>
      <c r="F16" s="54"/>
    </row>
    <row r="18" customFormat="false" ht="21.75" hidden="false" customHeight="true" outlineLevel="0" collapsed="false">
      <c r="A18" s="37" t="s">
        <v>141</v>
      </c>
      <c r="B18" s="37" t="s">
        <v>100</v>
      </c>
      <c r="C18" s="38" t="s">
        <v>142</v>
      </c>
      <c r="D18" s="37" t="s">
        <v>101</v>
      </c>
      <c r="E18" s="38" t="s">
        <v>143</v>
      </c>
      <c r="F18" s="38" t="s">
        <v>33</v>
      </c>
    </row>
    <row r="19" customFormat="false" ht="16.5" hidden="false" customHeight="true" outlineLevel="0" collapsed="false">
      <c r="A19" s="55" t="n">
        <f aca="false">IF(Items!$B5="","",1)</f>
        <v>1</v>
      </c>
      <c r="B19" s="56" t="str">
        <f aca="false">IF(Items!$B5="","",Items!B5)</f>
        <v>Demolition and haul-away</v>
      </c>
      <c r="C19" s="57" t="n">
        <f aca="false">IF(Items!$B5="","",Items!J5)</f>
        <v>14</v>
      </c>
      <c r="D19" s="56" t="str">
        <f aca="false">IF(Items!$B5="","",IF(Items!C5="","",Items!C5))</f>
        <v>hr</v>
      </c>
      <c r="E19" s="58" t="n">
        <f aca="false">IF(Items!$B5="","",Items!G5)</f>
        <v>65</v>
      </c>
      <c r="F19" s="58" t="n">
        <f aca="false">IF(Items!$B5="","",Items!K5)</f>
        <v>910</v>
      </c>
    </row>
    <row r="20" customFormat="false" ht="16.5" hidden="false" customHeight="true" outlineLevel="0" collapsed="false">
      <c r="A20" s="55" t="n">
        <f aca="false">IF(Items!$B6="","",2)</f>
        <v>2</v>
      </c>
      <c r="B20" s="56" t="str">
        <f aca="false">IF(Items!$B6="","",Items!B6)</f>
        <v>Plumbing rough-in and fixture install</v>
      </c>
      <c r="C20" s="57" t="n">
        <f aca="false">IF(Items!$B6="","",Items!J6)</f>
        <v>18</v>
      </c>
      <c r="D20" s="56" t="str">
        <f aca="false">IF(Items!$B6="","",IF(Items!C6="","",Items!C6))</f>
        <v>hr</v>
      </c>
      <c r="E20" s="58" t="n">
        <f aca="false">IF(Items!$B6="","",Items!G6)</f>
        <v>85</v>
      </c>
      <c r="F20" s="58" t="n">
        <f aca="false">IF(Items!$B6="","",Items!K6)</f>
        <v>1530</v>
      </c>
    </row>
    <row r="21" customFormat="false" ht="16.5" hidden="false" customHeight="true" outlineLevel="0" collapsed="false">
      <c r="A21" s="55" t="n">
        <f aca="false">IF(Items!$B7="","",3)</f>
        <v>3</v>
      </c>
      <c r="B21" s="56" t="str">
        <f aca="false">IF(Items!$B7="","",Items!B7)</f>
        <v>Tile installation, shower and floor</v>
      </c>
      <c r="C21" s="57" t="n">
        <f aca="false">IF(Items!$B7="","",Items!J7)</f>
        <v>24</v>
      </c>
      <c r="D21" s="56" t="str">
        <f aca="false">IF(Items!$B7="","",IF(Items!C7="","",Items!C7))</f>
        <v>hr</v>
      </c>
      <c r="E21" s="58" t="n">
        <f aca="false">IF(Items!$B7="","",Items!G7)</f>
        <v>70</v>
      </c>
      <c r="F21" s="58" t="n">
        <f aca="false">IF(Items!$B7="","",Items!K7)</f>
        <v>1680</v>
      </c>
    </row>
    <row r="22" customFormat="false" ht="16.5" hidden="false" customHeight="true" outlineLevel="0" collapsed="false">
      <c r="A22" s="55" t="n">
        <f aca="false">IF(Items!$B8="","",4)</f>
        <v>4</v>
      </c>
      <c r="B22" s="56" t="str">
        <f aca="false">IF(Items!$B8="","",Items!B8)</f>
        <v>Paint and finish carpentry</v>
      </c>
      <c r="C22" s="57" t="n">
        <f aca="false">IF(Items!$B8="","",Items!J8)</f>
        <v>10</v>
      </c>
      <c r="D22" s="56" t="str">
        <f aca="false">IF(Items!$B8="","",IF(Items!C8="","",Items!C8))</f>
        <v>hr</v>
      </c>
      <c r="E22" s="58" t="n">
        <f aca="false">IF(Items!$B8="","",Items!G8)</f>
        <v>60</v>
      </c>
      <c r="F22" s="58" t="n">
        <f aca="false">IF(Items!$B8="","",Items!K8)</f>
        <v>600</v>
      </c>
    </row>
    <row r="23" customFormat="false" ht="16.5" hidden="false" customHeight="true" outlineLevel="0" collapsed="false">
      <c r="A23" s="55" t="n">
        <f aca="false">IF(Items!$B9="","",5)</f>
        <v>5</v>
      </c>
      <c r="B23" s="56" t="str">
        <f aca="false">IF(Items!$B9="","",Items!B9)</f>
        <v>Shower tile and setting materials</v>
      </c>
      <c r="C23" s="57" t="n">
        <f aca="false">IF(Items!$B9="","",Items!J9)</f>
        <v>128</v>
      </c>
      <c r="D23" s="56" t="str">
        <f aca="false">IF(Items!$B9="","",IF(Items!C9="","",Items!C9))</f>
        <v>sq ft</v>
      </c>
      <c r="E23" s="58" t="n">
        <f aca="false">IF(Items!$B9="","",Items!G9)</f>
        <v>8.63</v>
      </c>
      <c r="F23" s="58" t="n">
        <f aca="false">IF(Items!$B9="","",Items!K9)</f>
        <v>1104.64</v>
      </c>
    </row>
    <row r="24" customFormat="false" ht="16.5" hidden="false" customHeight="true" outlineLevel="0" collapsed="false">
      <c r="A24" s="55" t="n">
        <f aca="false">IF(Items!$B10="","",6)</f>
        <v>6</v>
      </c>
      <c r="B24" s="56" t="str">
        <f aca="false">IF(Items!$B10="","",Items!B10)</f>
        <v>Glass shower door</v>
      </c>
      <c r="C24" s="57" t="n">
        <f aca="false">IF(Items!$B10="","",Items!J10)</f>
        <v>1</v>
      </c>
      <c r="D24" s="56" t="str">
        <f aca="false">IF(Items!$B10="","",IF(Items!C10="","",Items!C10))</f>
        <v>ea</v>
      </c>
      <c r="E24" s="58" t="n">
        <f aca="false">IF(Items!$B10="","",Items!G10)</f>
        <v>782</v>
      </c>
      <c r="F24" s="58" t="n">
        <f aca="false">IF(Items!$B10="","",Items!K10)</f>
        <v>782</v>
      </c>
    </row>
    <row r="25" customFormat="false" ht="16.5" hidden="false" customHeight="true" outlineLevel="0" collapsed="false">
      <c r="A25" s="55" t="n">
        <f aca="false">IF(Items!$B11="","",7)</f>
        <v>7</v>
      </c>
      <c r="B25" s="56" t="str">
        <f aca="false">IF(Items!$B11="","",Items!B11)</f>
        <v>Vanity with top</v>
      </c>
      <c r="C25" s="57" t="n">
        <f aca="false">IF(Items!$B11="","",Items!J11)</f>
        <v>1</v>
      </c>
      <c r="D25" s="56" t="str">
        <f aca="false">IF(Items!$B11="","",IF(Items!C11="","",Items!C11))</f>
        <v>ea</v>
      </c>
      <c r="E25" s="58" t="n">
        <f aca="false">IF(Items!$B11="","",Items!G11)</f>
        <v>621</v>
      </c>
      <c r="F25" s="58" t="n">
        <f aca="false">IF(Items!$B11="","",Items!K11)</f>
        <v>621</v>
      </c>
    </row>
    <row r="26" customFormat="false" ht="16.5" hidden="false" customHeight="true" outlineLevel="0" collapsed="false">
      <c r="A26" s="55" t="n">
        <f aca="false">IF(Items!$B12="","",8)</f>
        <v>8</v>
      </c>
      <c r="B26" s="56" t="str">
        <f aca="false">IF(Items!$B12="","",Items!B12)</f>
        <v>Toilet</v>
      </c>
      <c r="C26" s="57" t="n">
        <f aca="false">IF(Items!$B12="","",Items!J12)</f>
        <v>1</v>
      </c>
      <c r="D26" s="56" t="str">
        <f aca="false">IF(Items!$B12="","",IF(Items!C12="","",Items!C12))</f>
        <v>ea</v>
      </c>
      <c r="E26" s="58" t="n">
        <f aca="false">IF(Items!$B12="","",Items!G12)</f>
        <v>299</v>
      </c>
      <c r="F26" s="58" t="n">
        <f aca="false">IF(Items!$B12="","",Items!K12)</f>
        <v>299</v>
      </c>
    </row>
    <row r="27" customFormat="false" ht="16.5" hidden="false" customHeight="true" outlineLevel="0" collapsed="false">
      <c r="A27" s="55" t="n">
        <f aca="false">IF(Items!$B13="","",9)</f>
        <v>9</v>
      </c>
      <c r="B27" s="56" t="str">
        <f aca="false">IF(Items!$B13="","",Items!B13)</f>
        <v>Vinyl plank flooring</v>
      </c>
      <c r="C27" s="57" t="n">
        <f aca="false">IF(Items!$B13="","",Items!J13)</f>
        <v>55</v>
      </c>
      <c r="D27" s="56" t="str">
        <f aca="false">IF(Items!$B13="","",IF(Items!C13="","",Items!C13))</f>
        <v>sq ft</v>
      </c>
      <c r="E27" s="58" t="n">
        <f aca="false">IF(Items!$B13="","",Items!G13)</f>
        <v>4.83</v>
      </c>
      <c r="F27" s="58" t="n">
        <f aca="false">IF(Items!$B13="","",Items!K13)</f>
        <v>265.65</v>
      </c>
    </row>
    <row r="28" customFormat="false" ht="16.5" hidden="false" customHeight="true" outlineLevel="0" collapsed="false">
      <c r="A28" s="55" t="n">
        <f aca="false">IF(Items!$B14="","",10)</f>
        <v>10</v>
      </c>
      <c r="B28" s="56" t="str">
        <f aca="false">IF(Items!$B14="","",Items!B14)</f>
        <v>Dumpster rental</v>
      </c>
      <c r="C28" s="57" t="n">
        <f aca="false">IF(Items!$B14="","",Items!J14)</f>
        <v>5</v>
      </c>
      <c r="D28" s="56" t="str">
        <f aca="false">IF(Items!$B14="","",IF(Items!C14="","",Items!C14))</f>
        <v>day</v>
      </c>
      <c r="E28" s="58" t="n">
        <f aca="false">IF(Items!$B14="","",Items!G14)</f>
        <v>49.5</v>
      </c>
      <c r="F28" s="58" t="n">
        <f aca="false">IF(Items!$B14="","",Items!K14)</f>
        <v>247.5</v>
      </c>
    </row>
    <row r="29" customFormat="false" ht="16.5" hidden="false" customHeight="true" outlineLevel="0" collapsed="false">
      <c r="A29" s="55" t="n">
        <f aca="false">IF(Items!$B15="","",11)</f>
        <v>11</v>
      </c>
      <c r="B29" s="56" t="str">
        <f aca="false">IF(Items!$B15="","",Items!B15)</f>
        <v>Electrician: fan and lighting circuit</v>
      </c>
      <c r="C29" s="57" t="n">
        <f aca="false">IF(Items!$B15="","",Items!J15)</f>
        <v>1</v>
      </c>
      <c r="D29" s="56" t="str">
        <f aca="false">IF(Items!$B15="","",IF(Items!C15="","",Items!C15))</f>
        <v>lot</v>
      </c>
      <c r="E29" s="58" t="n">
        <f aca="false">IF(Items!$B15="","",Items!G15)</f>
        <v>715</v>
      </c>
      <c r="F29" s="58" t="n">
        <f aca="false">IF(Items!$B15="","",Items!K15)</f>
        <v>715</v>
      </c>
    </row>
    <row r="30" customFormat="false" ht="16.5" hidden="false" customHeight="true" outlineLevel="0" collapsed="false">
      <c r="A30" s="55" t="n">
        <f aca="false">IF(Items!$B16="","",12)</f>
        <v>12</v>
      </c>
      <c r="B30" s="56" t="str">
        <f aca="false">IF(Items!$B16="","",Items!B16)</f>
        <v>Building permit</v>
      </c>
      <c r="C30" s="57" t="n">
        <f aca="false">IF(Items!$B16="","",Items!J16)</f>
        <v>1</v>
      </c>
      <c r="D30" s="56" t="str">
        <f aca="false">IF(Items!$B16="","",IF(Items!C16="","",Items!C16))</f>
        <v>ea</v>
      </c>
      <c r="E30" s="58" t="n">
        <f aca="false">IF(Items!$B16="","",Items!G16)</f>
        <v>175</v>
      </c>
      <c r="F30" s="58" t="n">
        <f aca="false">IF(Items!$B16="","",Items!K16)</f>
        <v>175</v>
      </c>
    </row>
    <row r="31" customFormat="false" ht="16.5" hidden="false" customHeight="true" outlineLevel="0" collapsed="false">
      <c r="A31" s="55" t="str">
        <f aca="false">IF(Items!$B17="","",13)</f>
        <v/>
      </c>
      <c r="B31" s="56" t="str">
        <f aca="false">IF(Items!$B17="","",Items!B17)</f>
        <v/>
      </c>
      <c r="C31" s="57" t="str">
        <f aca="false">IF(Items!$B17="","",Items!J17)</f>
        <v/>
      </c>
      <c r="D31" s="56" t="str">
        <f aca="false">IF(Items!$B17="","",IF(Items!C17="","",Items!C17))</f>
        <v/>
      </c>
      <c r="E31" s="58" t="str">
        <f aca="false">IF(Items!$B17="","",Items!G17)</f>
        <v/>
      </c>
      <c r="F31" s="58" t="str">
        <f aca="false">IF(Items!$B17="","",Items!K17)</f>
        <v/>
      </c>
    </row>
    <row r="32" customFormat="false" ht="16.5" hidden="false" customHeight="true" outlineLevel="0" collapsed="false">
      <c r="A32" s="55" t="str">
        <f aca="false">IF(Items!$B18="","",14)</f>
        <v/>
      </c>
      <c r="B32" s="56" t="str">
        <f aca="false">IF(Items!$B18="","",Items!B18)</f>
        <v/>
      </c>
      <c r="C32" s="57" t="str">
        <f aca="false">IF(Items!$B18="","",Items!J18)</f>
        <v/>
      </c>
      <c r="D32" s="56" t="str">
        <f aca="false">IF(Items!$B18="","",IF(Items!C18="","",Items!C18))</f>
        <v/>
      </c>
      <c r="E32" s="58" t="str">
        <f aca="false">IF(Items!$B18="","",Items!G18)</f>
        <v/>
      </c>
      <c r="F32" s="58" t="str">
        <f aca="false">IF(Items!$B18="","",Items!K18)</f>
        <v/>
      </c>
    </row>
    <row r="33" customFormat="false" ht="16.5" hidden="false" customHeight="true" outlineLevel="0" collapsed="false">
      <c r="A33" s="55" t="str">
        <f aca="false">IF(Items!$B19="","",15)</f>
        <v/>
      </c>
      <c r="B33" s="56" t="str">
        <f aca="false">IF(Items!$B19="","",Items!B19)</f>
        <v/>
      </c>
      <c r="C33" s="57" t="str">
        <f aca="false">IF(Items!$B19="","",Items!J19)</f>
        <v/>
      </c>
      <c r="D33" s="56" t="str">
        <f aca="false">IF(Items!$B19="","",IF(Items!C19="","",Items!C19))</f>
        <v/>
      </c>
      <c r="E33" s="58" t="str">
        <f aca="false">IF(Items!$B19="","",Items!G19)</f>
        <v/>
      </c>
      <c r="F33" s="58" t="str">
        <f aca="false">IF(Items!$B19="","",Items!K19)</f>
        <v/>
      </c>
    </row>
    <row r="34" customFormat="false" ht="16.5" hidden="false" customHeight="true" outlineLevel="0" collapsed="false">
      <c r="A34" s="55" t="str">
        <f aca="false">IF(Items!$B20="","",16)</f>
        <v/>
      </c>
      <c r="B34" s="56" t="str">
        <f aca="false">IF(Items!$B20="","",Items!B20)</f>
        <v/>
      </c>
      <c r="C34" s="57" t="str">
        <f aca="false">IF(Items!$B20="","",Items!J20)</f>
        <v/>
      </c>
      <c r="D34" s="56" t="str">
        <f aca="false">IF(Items!$B20="","",IF(Items!C20="","",Items!C20))</f>
        <v/>
      </c>
      <c r="E34" s="58" t="str">
        <f aca="false">IF(Items!$B20="","",Items!G20)</f>
        <v/>
      </c>
      <c r="F34" s="58" t="str">
        <f aca="false">IF(Items!$B20="","",Items!K20)</f>
        <v/>
      </c>
    </row>
    <row r="35" customFormat="false" ht="16.5" hidden="false" customHeight="true" outlineLevel="0" collapsed="false">
      <c r="A35" s="55" t="str">
        <f aca="false">IF(Items!$B21="","",17)</f>
        <v/>
      </c>
      <c r="B35" s="56" t="str">
        <f aca="false">IF(Items!$B21="","",Items!B21)</f>
        <v/>
      </c>
      <c r="C35" s="57" t="str">
        <f aca="false">IF(Items!$B21="","",Items!J21)</f>
        <v/>
      </c>
      <c r="D35" s="56" t="str">
        <f aca="false">IF(Items!$B21="","",IF(Items!C21="","",Items!C21))</f>
        <v/>
      </c>
      <c r="E35" s="58" t="str">
        <f aca="false">IF(Items!$B21="","",Items!G21)</f>
        <v/>
      </c>
      <c r="F35" s="58" t="str">
        <f aca="false">IF(Items!$B21="","",Items!K21)</f>
        <v/>
      </c>
    </row>
    <row r="36" customFormat="false" ht="16.5" hidden="false" customHeight="true" outlineLevel="0" collapsed="false">
      <c r="A36" s="55" t="str">
        <f aca="false">IF(Items!$B22="","",18)</f>
        <v/>
      </c>
      <c r="B36" s="56" t="str">
        <f aca="false">IF(Items!$B22="","",Items!B22)</f>
        <v/>
      </c>
      <c r="C36" s="57" t="str">
        <f aca="false">IF(Items!$B22="","",Items!J22)</f>
        <v/>
      </c>
      <c r="D36" s="56" t="str">
        <f aca="false">IF(Items!$B22="","",IF(Items!C22="","",Items!C22))</f>
        <v/>
      </c>
      <c r="E36" s="58" t="str">
        <f aca="false">IF(Items!$B22="","",Items!G22)</f>
        <v/>
      </c>
      <c r="F36" s="58" t="str">
        <f aca="false">IF(Items!$B22="","",Items!K22)</f>
        <v/>
      </c>
    </row>
    <row r="37" customFormat="false" ht="16.5" hidden="false" customHeight="true" outlineLevel="0" collapsed="false">
      <c r="A37" s="55" t="str">
        <f aca="false">IF(Items!$B23="","",19)</f>
        <v/>
      </c>
      <c r="B37" s="56" t="str">
        <f aca="false">IF(Items!$B23="","",Items!B23)</f>
        <v/>
      </c>
      <c r="C37" s="57" t="str">
        <f aca="false">IF(Items!$B23="","",Items!J23)</f>
        <v/>
      </c>
      <c r="D37" s="56" t="str">
        <f aca="false">IF(Items!$B23="","",IF(Items!C23="","",Items!C23))</f>
        <v/>
      </c>
      <c r="E37" s="58" t="str">
        <f aca="false">IF(Items!$B23="","",Items!G23)</f>
        <v/>
      </c>
      <c r="F37" s="58" t="str">
        <f aca="false">IF(Items!$B23="","",Items!K23)</f>
        <v/>
      </c>
    </row>
    <row r="38" customFormat="false" ht="16.5" hidden="false" customHeight="true" outlineLevel="0" collapsed="false">
      <c r="A38" s="55" t="str">
        <f aca="false">IF(Items!$B24="","",20)</f>
        <v/>
      </c>
      <c r="B38" s="56" t="str">
        <f aca="false">IF(Items!$B24="","",Items!B24)</f>
        <v/>
      </c>
      <c r="C38" s="57" t="str">
        <f aca="false">IF(Items!$B24="","",Items!J24)</f>
        <v/>
      </c>
      <c r="D38" s="56" t="str">
        <f aca="false">IF(Items!$B24="","",IF(Items!C24="","",Items!C24))</f>
        <v/>
      </c>
      <c r="E38" s="58" t="str">
        <f aca="false">IF(Items!$B24="","",Items!G24)</f>
        <v/>
      </c>
      <c r="F38" s="58" t="str">
        <f aca="false">IF(Items!$B24="","",Items!K24)</f>
        <v/>
      </c>
    </row>
    <row r="39" customFormat="false" ht="16.5" hidden="false" customHeight="true" outlineLevel="0" collapsed="false">
      <c r="A39" s="55" t="str">
        <f aca="false">IF(Items!$B25="","",21)</f>
        <v/>
      </c>
      <c r="B39" s="56" t="str">
        <f aca="false">IF(Items!$B25="","",Items!B25)</f>
        <v/>
      </c>
      <c r="C39" s="57" t="str">
        <f aca="false">IF(Items!$B25="","",Items!J25)</f>
        <v/>
      </c>
      <c r="D39" s="56" t="str">
        <f aca="false">IF(Items!$B25="","",IF(Items!C25="","",Items!C25))</f>
        <v/>
      </c>
      <c r="E39" s="58" t="str">
        <f aca="false">IF(Items!$B25="","",Items!G25)</f>
        <v/>
      </c>
      <c r="F39" s="58" t="str">
        <f aca="false">IF(Items!$B25="","",Items!K25)</f>
        <v/>
      </c>
    </row>
    <row r="40" customFormat="false" ht="16.5" hidden="false" customHeight="true" outlineLevel="0" collapsed="false">
      <c r="A40" s="55" t="str">
        <f aca="false">IF(Items!$B26="","",22)</f>
        <v/>
      </c>
      <c r="B40" s="56" t="str">
        <f aca="false">IF(Items!$B26="","",Items!B26)</f>
        <v/>
      </c>
      <c r="C40" s="57" t="str">
        <f aca="false">IF(Items!$B26="","",Items!J26)</f>
        <v/>
      </c>
      <c r="D40" s="56" t="str">
        <f aca="false">IF(Items!$B26="","",IF(Items!C26="","",Items!C26))</f>
        <v/>
      </c>
      <c r="E40" s="58" t="str">
        <f aca="false">IF(Items!$B26="","",Items!G26)</f>
        <v/>
      </c>
      <c r="F40" s="58" t="str">
        <f aca="false">IF(Items!$B26="","",Items!K26)</f>
        <v/>
      </c>
    </row>
    <row r="41" customFormat="false" ht="16.5" hidden="false" customHeight="true" outlineLevel="0" collapsed="false">
      <c r="A41" s="55" t="str">
        <f aca="false">IF(Items!$B27="","",23)</f>
        <v/>
      </c>
      <c r="B41" s="56" t="str">
        <f aca="false">IF(Items!$B27="","",Items!B27)</f>
        <v/>
      </c>
      <c r="C41" s="57" t="str">
        <f aca="false">IF(Items!$B27="","",Items!J27)</f>
        <v/>
      </c>
      <c r="D41" s="56" t="str">
        <f aca="false">IF(Items!$B27="","",IF(Items!C27="","",Items!C27))</f>
        <v/>
      </c>
      <c r="E41" s="58" t="str">
        <f aca="false">IF(Items!$B27="","",Items!G27)</f>
        <v/>
      </c>
      <c r="F41" s="58" t="str">
        <f aca="false">IF(Items!$B27="","",Items!K27)</f>
        <v/>
      </c>
    </row>
    <row r="42" customFormat="false" ht="16.5" hidden="false" customHeight="true" outlineLevel="0" collapsed="false">
      <c r="A42" s="55" t="str">
        <f aca="false">IF(Items!$B28="","",24)</f>
        <v/>
      </c>
      <c r="B42" s="56" t="str">
        <f aca="false">IF(Items!$B28="","",Items!B28)</f>
        <v/>
      </c>
      <c r="C42" s="57" t="str">
        <f aca="false">IF(Items!$B28="","",Items!J28)</f>
        <v/>
      </c>
      <c r="D42" s="56" t="str">
        <f aca="false">IF(Items!$B28="","",IF(Items!C28="","",Items!C28))</f>
        <v/>
      </c>
      <c r="E42" s="58" t="str">
        <f aca="false">IF(Items!$B28="","",Items!G28)</f>
        <v/>
      </c>
      <c r="F42" s="58" t="str">
        <f aca="false">IF(Items!$B28="","",Items!K28)</f>
        <v/>
      </c>
    </row>
    <row r="43" customFormat="false" ht="16.5" hidden="false" customHeight="true" outlineLevel="0" collapsed="false">
      <c r="A43" s="55" t="str">
        <f aca="false">IF(Items!$B29="","",25)</f>
        <v/>
      </c>
      <c r="B43" s="56" t="str">
        <f aca="false">IF(Items!$B29="","",Items!B29)</f>
        <v/>
      </c>
      <c r="C43" s="57" t="str">
        <f aca="false">IF(Items!$B29="","",Items!J29)</f>
        <v/>
      </c>
      <c r="D43" s="56" t="str">
        <f aca="false">IF(Items!$B29="","",IF(Items!C29="","",Items!C29))</f>
        <v/>
      </c>
      <c r="E43" s="58" t="str">
        <f aca="false">IF(Items!$B29="","",Items!G29)</f>
        <v/>
      </c>
      <c r="F43" s="58" t="str">
        <f aca="false">IF(Items!$B29="","",Items!K29)</f>
        <v/>
      </c>
    </row>
    <row r="45" customFormat="false" ht="21.75" hidden="false" customHeight="true" outlineLevel="0" collapsed="false">
      <c r="A45" s="4" t="s">
        <v>157</v>
      </c>
      <c r="B45" s="5"/>
      <c r="E45" s="59" t="s">
        <v>145</v>
      </c>
      <c r="F45" s="60" t="n">
        <f aca="false">SUM(Items!$K$5:$K$29)</f>
        <v>8929.79</v>
      </c>
    </row>
    <row r="46" customFormat="false" ht="18.75" hidden="false" customHeight="true" outlineLevel="0" collapsed="false">
      <c r="A46" s="61" t="str">
        <f aca="false">Details!$B$44</f>
        <v>Pay by check to Northline Home Renovations or by bank transfer. Please include the invoice number with your payment.</v>
      </c>
      <c r="B46" s="61"/>
      <c r="D46" s="62" t="n">
        <f aca="false">Details!$B$40</f>
        <v>0.05</v>
      </c>
      <c r="E46" s="59" t="s">
        <v>146</v>
      </c>
      <c r="F46" s="60" t="n">
        <f aca="false">-ROUND(F45*N(Details!$B$40),2)</f>
        <v>-446.49</v>
      </c>
    </row>
    <row r="47" customFormat="false" ht="18.75" hidden="false" customHeight="true" outlineLevel="0" collapsed="false">
      <c r="A47" s="61"/>
      <c r="B47" s="61"/>
      <c r="D47" s="62" t="n">
        <f aca="false">Details!$B$39</f>
        <v>0.06875</v>
      </c>
      <c r="E47" s="59" t="s">
        <v>147</v>
      </c>
      <c r="F47" s="60" t="n">
        <f aca="false">ROUND(SUMIFS(Items!$K$5:$K$29,Items!$L$5:$L$29,"Yes")*(1-N(Details!$B$40))*N(Details!$B$39),2)</f>
        <v>200.66</v>
      </c>
    </row>
    <row r="48" customFormat="false" ht="18.75" hidden="false" customHeight="true" outlineLevel="0" collapsed="false">
      <c r="A48" s="61"/>
      <c r="B48" s="61"/>
      <c r="E48" s="63" t="s">
        <v>148</v>
      </c>
      <c r="F48" s="64" t="n">
        <f aca="false">F45+F46+F47</f>
        <v>8683.96</v>
      </c>
    </row>
    <row r="49" customFormat="false" ht="18.75" hidden="false" customHeight="true" outlineLevel="0" collapsed="false">
      <c r="A49" s="61"/>
      <c r="B49" s="61"/>
      <c r="E49" s="59" t="s">
        <v>158</v>
      </c>
      <c r="F49" s="60" t="n">
        <f aca="false">-N(Details!$B$35)</f>
        <v>-3000</v>
      </c>
    </row>
    <row r="50" customFormat="false" ht="18.75" hidden="false" customHeight="true" outlineLevel="0" collapsed="false">
      <c r="E50" s="59" t="s">
        <v>159</v>
      </c>
      <c r="F50" s="60" t="n">
        <f aca="false">-N(Details!$B$36)</f>
        <v>-0</v>
      </c>
    </row>
    <row r="51" customFormat="false" ht="18.75" hidden="false" customHeight="true" outlineLevel="0" collapsed="false">
      <c r="E51" s="63" t="s">
        <v>160</v>
      </c>
      <c r="F51" s="64" t="n">
        <f aca="false">F48+F49+F50</f>
        <v>5683.96</v>
      </c>
    </row>
    <row r="54" customFormat="false" ht="15" hidden="false" customHeight="false" outlineLevel="0" collapsed="false">
      <c r="A54" s="65" t="s">
        <v>161</v>
      </c>
    </row>
    <row r="55" customFormat="false" ht="15" hidden="false" customHeight="false" outlineLevel="0" collapsed="false">
      <c r="A55" s="51" t="str">
        <f aca="false">"Questions about this invoice? Contact "&amp;Details!$B$8&amp;IF(Details!$B$9&lt;&gt;""," or "&amp;Details!$B$9,"")&amp;"."</f>
        <v>Questions about this invoice? Contact (555) 014-2290 or office@example.com.</v>
      </c>
    </row>
  </sheetData>
  <mergeCells count="3">
    <mergeCell ref="D9:F10"/>
    <mergeCell ref="A15:F16"/>
    <mergeCell ref="A46:B49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E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20"/>
  </cols>
  <sheetData>
    <row r="1" customFormat="false" ht="33.75" hidden="false" customHeight="true" outlineLevel="0" collapsed="false">
      <c r="A1" s="1" t="s">
        <v>42</v>
      </c>
      <c r="B1" s="2"/>
      <c r="C1" s="2"/>
      <c r="D1" s="2"/>
      <c r="E1" s="2"/>
    </row>
    <row r="2" customFormat="false" ht="21.75" hidden="false" customHeight="true" outlineLevel="0" collapsed="false">
      <c r="A2" s="25" t="s">
        <v>162</v>
      </c>
      <c r="B2" s="26"/>
      <c r="C2" s="26"/>
      <c r="D2" s="26"/>
      <c r="E2" s="26"/>
    </row>
    <row r="3" customFormat="false" ht="9.75" hidden="false" customHeight="true" outlineLevel="0" collapsed="false"/>
    <row r="4" customFormat="false" ht="30" hidden="false" customHeight="true" outlineLevel="0" collapsed="false">
      <c r="A4" s="66" t="s">
        <v>163</v>
      </c>
      <c r="B4" s="66" t="s">
        <v>164</v>
      </c>
      <c r="C4" s="66" t="s">
        <v>165</v>
      </c>
      <c r="D4" s="66" t="s">
        <v>166</v>
      </c>
      <c r="E4" s="66" t="s">
        <v>167</v>
      </c>
    </row>
    <row r="5" customFormat="false" ht="15" hidden="false" customHeight="false" outlineLevel="0" collapsed="false">
      <c r="A5" s="27" t="s">
        <v>111</v>
      </c>
      <c r="B5" s="27" t="s">
        <v>113</v>
      </c>
      <c r="C5" s="27" t="s">
        <v>121</v>
      </c>
      <c r="D5" s="27" t="s">
        <v>168</v>
      </c>
      <c r="E5" s="27" t="n">
        <v>0</v>
      </c>
    </row>
    <row r="6" customFormat="false" ht="15" hidden="false" customHeight="false" outlineLevel="0" collapsed="false">
      <c r="A6" s="27" t="s">
        <v>118</v>
      </c>
      <c r="B6" s="27" t="s">
        <v>123</v>
      </c>
      <c r="C6" s="27" t="s">
        <v>114</v>
      </c>
      <c r="D6" s="27" t="s">
        <v>169</v>
      </c>
      <c r="E6" s="27" t="n">
        <v>7</v>
      </c>
    </row>
    <row r="7" customFormat="false" ht="15" hidden="false" customHeight="false" outlineLevel="0" collapsed="false">
      <c r="A7" s="27" t="s">
        <v>127</v>
      </c>
      <c r="B7" s="27" t="s">
        <v>120</v>
      </c>
      <c r="C7" s="67"/>
      <c r="D7" s="27" t="s">
        <v>88</v>
      </c>
      <c r="E7" s="27" t="n">
        <v>15</v>
      </c>
    </row>
    <row r="8" customFormat="false" ht="15" hidden="false" customHeight="false" outlineLevel="0" collapsed="false">
      <c r="A8" s="27" t="s">
        <v>130</v>
      </c>
      <c r="B8" s="27" t="s">
        <v>170</v>
      </c>
      <c r="C8" s="67"/>
      <c r="D8" s="27" t="s">
        <v>171</v>
      </c>
      <c r="E8" s="27" t="n">
        <v>30</v>
      </c>
    </row>
    <row r="9" customFormat="false" ht="15" hidden="false" customHeight="false" outlineLevel="0" collapsed="false">
      <c r="A9" s="27" t="s">
        <v>133</v>
      </c>
      <c r="B9" s="27" t="s">
        <v>129</v>
      </c>
      <c r="C9" s="67"/>
      <c r="D9" s="27"/>
      <c r="E9" s="27"/>
    </row>
    <row r="10" customFormat="false" ht="15" hidden="false" customHeight="false" outlineLevel="0" collapsed="false">
      <c r="A10" s="67"/>
      <c r="B10" s="27" t="s">
        <v>132</v>
      </c>
      <c r="C10" s="67"/>
      <c r="D10" s="27"/>
      <c r="E10" s="27"/>
    </row>
    <row r="11" customFormat="false" ht="15" hidden="false" customHeight="false" outlineLevel="0" collapsed="false">
      <c r="A11" s="67"/>
      <c r="B11" s="27" t="s">
        <v>172</v>
      </c>
      <c r="C11" s="67"/>
      <c r="D11" s="27"/>
      <c r="E11" s="27"/>
    </row>
    <row r="12" customFormat="false" ht="15" hidden="false" customHeight="false" outlineLevel="0" collapsed="false">
      <c r="A12" s="67"/>
      <c r="B12" s="27" t="s">
        <v>173</v>
      </c>
      <c r="C12" s="67"/>
      <c r="D12" s="27"/>
      <c r="E12" s="27"/>
    </row>
    <row r="13" customFormat="false" ht="15" hidden="false" customHeight="false" outlineLevel="0" collapsed="false">
      <c r="A13" s="67"/>
      <c r="B13" s="27"/>
      <c r="C13" s="67"/>
      <c r="D13" s="67"/>
      <c r="E13" s="67"/>
    </row>
    <row r="14" customFormat="false" ht="15" hidden="false" customHeight="false" outlineLevel="0" collapsed="false">
      <c r="A14" s="67"/>
      <c r="B14" s="27"/>
      <c r="C14" s="67"/>
      <c r="D14" s="67"/>
      <c r="E14" s="67"/>
    </row>
    <row r="15" customFormat="false" ht="15" hidden="false" customHeight="false" outlineLevel="0" collapsed="false">
      <c r="A15" s="67"/>
      <c r="B15" s="27"/>
      <c r="C15" s="67"/>
      <c r="D15" s="67"/>
      <c r="E15" s="67"/>
    </row>
    <row r="16" customFormat="false" ht="15" hidden="false" customHeight="false" outlineLevel="0" collapsed="false">
      <c r="A16" s="67"/>
      <c r="B16" s="27"/>
      <c r="C16" s="67"/>
      <c r="D16" s="67"/>
      <c r="E16" s="67"/>
    </row>
    <row r="17" customFormat="false" ht="15" hidden="false" customHeight="false" outlineLevel="0" collapsed="false">
      <c r="A17" s="67"/>
      <c r="B17" s="27"/>
      <c r="C17" s="67"/>
      <c r="D17" s="67"/>
      <c r="E17" s="67"/>
    </row>
    <row r="18" customFormat="false" ht="15" hidden="false" customHeight="false" outlineLevel="0" collapsed="false">
      <c r="A18" s="67"/>
      <c r="B18" s="27"/>
      <c r="C18" s="67"/>
      <c r="D18" s="67"/>
      <c r="E18" s="67"/>
    </row>
    <row r="19" customFormat="false" ht="15" hidden="false" customHeight="false" outlineLevel="0" collapsed="false">
      <c r="A19" s="67"/>
      <c r="B19" s="27"/>
      <c r="C19" s="67"/>
      <c r="D19" s="67"/>
      <c r="E19" s="67"/>
    </row>
    <row r="20" customFormat="false" ht="15" hidden="false" customHeight="false" outlineLevel="0" collapsed="false">
      <c r="A20" s="67"/>
      <c r="B20" s="27"/>
      <c r="C20" s="67"/>
      <c r="D20" s="67"/>
      <c r="E20" s="67"/>
    </row>
    <row r="21" customFormat="false" ht="15" hidden="false" customHeight="false" outlineLevel="0" collapsed="false">
      <c r="A21" s="67"/>
      <c r="B21" s="27"/>
      <c r="C21" s="67"/>
      <c r="D21" s="67"/>
      <c r="E21" s="67"/>
    </row>
    <row r="22" customFormat="false" ht="15" hidden="false" customHeight="false" outlineLevel="0" collapsed="false">
      <c r="A22" s="67"/>
      <c r="B22" s="27"/>
      <c r="C22" s="67"/>
      <c r="D22" s="67"/>
      <c r="E22" s="67"/>
    </row>
    <row r="23" customFormat="false" ht="15" hidden="false" customHeight="false" outlineLevel="0" collapsed="false">
      <c r="A23" s="67"/>
      <c r="B23" s="27"/>
      <c r="C23" s="67"/>
      <c r="D23" s="67"/>
      <c r="E23" s="67"/>
    </row>
    <row r="24" customFormat="false" ht="15" hidden="false" customHeight="false" outlineLevel="0" collapsed="false">
      <c r="A24" s="67"/>
      <c r="B24" s="27"/>
      <c r="C24" s="67"/>
      <c r="D24" s="67"/>
      <c r="E24" s="67"/>
    </row>
    <row r="25" customFormat="false" ht="15" hidden="false" customHeight="false" outlineLevel="0" collapsed="false">
      <c r="A25" s="67"/>
      <c r="B25" s="27"/>
      <c r="C25" s="67"/>
      <c r="D25" s="67"/>
      <c r="E25" s="67"/>
    </row>
    <row r="26" customFormat="false" ht="15" hidden="false" customHeight="false" outlineLevel="0" collapsed="false">
      <c r="A26" s="67"/>
      <c r="B26" s="27"/>
      <c r="C26" s="67"/>
      <c r="D26" s="67"/>
      <c r="E26" s="67"/>
    </row>
    <row r="27" customFormat="false" ht="15" hidden="false" customHeight="false" outlineLevel="0" collapsed="false">
      <c r="A27" s="67"/>
      <c r="B27" s="27"/>
      <c r="C27" s="67"/>
      <c r="D27" s="67"/>
      <c r="E27" s="67"/>
    </row>
    <row r="28" customFormat="false" ht="15" hidden="false" customHeight="false" outlineLevel="0" collapsed="false">
      <c r="A28" s="67"/>
      <c r="B28" s="27"/>
      <c r="C28" s="67"/>
      <c r="D28" s="67"/>
      <c r="E28" s="67"/>
    </row>
    <row r="29" customFormat="false" ht="15" hidden="false" customHeight="false" outlineLevel="0" collapsed="false">
      <c r="A29" s="67"/>
      <c r="B29" s="27"/>
      <c r="C29" s="67"/>
      <c r="D29" s="67"/>
      <c r="E29" s="67"/>
    </row>
    <row r="30" customFormat="false" ht="15" hidden="false" customHeight="false" outlineLevel="0" collapsed="false">
      <c r="A30" s="67"/>
      <c r="B30" s="27"/>
      <c r="C30" s="67"/>
      <c r="D30" s="67"/>
      <c r="E30" s="67"/>
    </row>
    <row r="32" customFormat="false" ht="15" hidden="false" customHeight="false" outlineLevel="0" collapsed="false">
      <c r="A32" s="30" t="s">
        <v>174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34"/>
  </cols>
  <sheetData>
    <row r="1" customFormat="false" ht="33.75" hidden="false" customHeight="true" outlineLevel="0" collapsed="false">
      <c r="A1" s="1" t="s">
        <v>44</v>
      </c>
      <c r="B1" s="2"/>
      <c r="C1" s="2"/>
    </row>
    <row r="2" customFormat="false" ht="21.75" hidden="false" customHeight="true" outlineLevel="0" collapsed="false">
      <c r="A2" s="25" t="s">
        <v>175</v>
      </c>
      <c r="B2" s="26"/>
      <c r="C2" s="26"/>
    </row>
    <row r="3" customFormat="false" ht="9.75" hidden="false" customHeight="true" outlineLevel="0" collapsed="false"/>
    <row r="4" customFormat="false" ht="25.5" hidden="false" customHeight="true" outlineLevel="0" collapsed="false">
      <c r="A4" s="68" t="s">
        <v>176</v>
      </c>
      <c r="B4" s="69" t="s">
        <v>177</v>
      </c>
      <c r="C4" s="68" t="s">
        <v>178</v>
      </c>
    </row>
    <row r="5" customFormat="false" ht="21.75" hidden="false" customHeight="true" outlineLevel="0" collapsed="false">
      <c r="A5" s="67" t="s">
        <v>179</v>
      </c>
      <c r="B5" s="70" t="str">
        <f aca="false">IF(COUNTIFS(Items!$B$5:$B$29,"&lt;&gt;",Items!$A$5:$A$29,"")=0,"OK","Review")</f>
        <v>OK</v>
      </c>
      <c r="C5" s="44" t="s">
        <v>180</v>
      </c>
    </row>
    <row r="6" customFormat="false" ht="21.75" hidden="false" customHeight="true" outlineLevel="0" collapsed="false">
      <c r="A6" s="67" t="s">
        <v>181</v>
      </c>
      <c r="B6" s="70" t="str">
        <f aca="false">IF(COUNTIFS(Items!$B$5:$B$29,"&lt;&gt;",Items!$D$5:$D$29,"")+COUNTIFS(Items!$B$5:$B$29,"&lt;&gt;",Items!$E$5:$E$29,"")=0,"OK","Review")</f>
        <v>OK</v>
      </c>
      <c r="C6" s="44" t="s">
        <v>182</v>
      </c>
    </row>
    <row r="7" customFormat="false" ht="21.75" hidden="false" customHeight="true" outlineLevel="0" collapsed="false">
      <c r="A7" s="67" t="s">
        <v>183</v>
      </c>
      <c r="B7" s="70" t="str">
        <f aca="false">IF(COUNTIFS(Items!$B$5:$B$29,"&lt;&gt;",Items!$L$5:$L$29,"")=0,"OK","Review")</f>
        <v>OK</v>
      </c>
      <c r="C7" s="44" t="s">
        <v>184</v>
      </c>
    </row>
    <row r="8" customFormat="false" ht="21.75" hidden="false" customHeight="true" outlineLevel="0" collapsed="false">
      <c r="A8" s="67" t="s">
        <v>185</v>
      </c>
      <c r="B8" s="70" t="str">
        <f aca="false">IF(Details!$B$13&lt;&gt;"","OK","Review")</f>
        <v>OK</v>
      </c>
      <c r="C8" s="44" t="s">
        <v>186</v>
      </c>
    </row>
    <row r="9" customFormat="false" ht="21.75" hidden="false" customHeight="true" outlineLevel="0" collapsed="false">
      <c r="A9" s="67" t="s">
        <v>187</v>
      </c>
      <c r="B9" s="70" t="str">
        <f aca="false">IF(AND(N(Details!$B$39)&gt;=0,N(Details!$B$39)&lt;1,N(Details!$B$40)&gt;=0,N(Details!$B$40)&lt;1),"OK","Review")</f>
        <v>OK</v>
      </c>
      <c r="C9" s="44" t="s">
        <v>188</v>
      </c>
    </row>
    <row r="10" customFormat="false" ht="21.75" hidden="false" customHeight="true" outlineLevel="0" collapsed="false">
      <c r="A10" s="67" t="s">
        <v>189</v>
      </c>
      <c r="B10" s="70" t="str">
        <f aca="false">IF(N(Details!$B$35)+N(Details!$B$36)&lt;=Invoice!$F$48,"OK","Review")</f>
        <v>OK</v>
      </c>
      <c r="C10" s="44" t="s">
        <v>190</v>
      </c>
    </row>
    <row r="11" customFormat="false" ht="21.75" hidden="false" customHeight="true" outlineLevel="0" collapsed="false">
      <c r="A11" s="67" t="s">
        <v>191</v>
      </c>
      <c r="B11" s="70" t="str">
        <f aca="true">IF(OR(Invoice!$F$51&lt;=0,Invoice!$F$4="",Invoice!$F$4&gt;=TODAY()),"OK","Review")</f>
        <v>OK</v>
      </c>
      <c r="C11" s="44" t="s">
        <v>192</v>
      </c>
    </row>
    <row r="13" customFormat="false" ht="15" hidden="false" customHeight="false" outlineLevel="0" collapsed="false">
      <c r="A13" s="30" t="s">
        <v>193</v>
      </c>
    </row>
  </sheetData>
  <conditionalFormatting sqref="B5:B11">
    <cfRule type="containsText" priority="2" operator="containsText" aboveAverage="0" equalAverage="0" bottom="0" percent="0" rank="0" text="Overdue" dxfId="7">
      <formula>NOT(ISERROR(SEARCH("Overdue",B5)))</formula>
    </cfRule>
    <cfRule type="containsText" priority="3" operator="containsText" aboveAverage="0" equalAverage="0" bottom="0" percent="0" rank="0" text="Late" dxfId="7">
      <formula>NOT(ISERROR(SEARCH("Late",B5)))</formula>
    </cfRule>
    <cfRule type="containsText" priority="4" operator="containsText" aboveAverage="0" equalAverage="0" bottom="0" percent="0" rank="0" text="Review" dxfId="8">
      <formula>NOT(ISERROR(SEARCH("Review",B5)))</formula>
    </cfRule>
    <cfRule type="containsText" priority="5" operator="containsText" aboveAverage="0" equalAverage="0" bottom="0" percent="0" rank="0" text="OK" dxfId="9">
      <formula>NOT(ISERROR(SEARCH("OK",B5)))</formula>
    </cfRule>
    <cfRule type="containsText" priority="6" operator="containsText" aboveAverage="0" equalAverage="0" bottom="0" percent="0" rank="0" text="Complete" dxfId="9">
      <formula>NOT(ISERROR(SEARCH("Complete",B5)))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2026-10-28T23:07:10Z</dcterms:created>
  <dc:creator>ArumSoft Learning</dc:creator>
  <dc:description/>
  <dc:language>en-US</dc:language>
  <cp:lastModifiedBy/>
  <dcterms:modified xsi:type="dcterms:W3CDTF">2026-10-28T19:07:11Z</dcterms:modified>
  <cp:revision>1</cp:revision>
  <dc:subject/>
  <dc:title>Contractor Estimate and Invoice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